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/>
  <mc:AlternateContent xmlns:mc="http://schemas.openxmlformats.org/markup-compatibility/2006">
    <mc:Choice Requires="x15">
      <x15ac:absPath xmlns:x15ac="http://schemas.microsoft.com/office/spreadsheetml/2010/11/ac" url="C:\Users\Eigenaar\Desktop\Calculators\"/>
    </mc:Choice>
  </mc:AlternateContent>
  <xr:revisionPtr revIDLastSave="0" documentId="8_{28B3E27B-5A37-4A09-B9E9-E62FF437F5A5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Blad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Q33" i="1" l="1"/>
  <c r="T34" i="1" l="1"/>
  <c r="T31" i="1"/>
  <c r="U31" i="1"/>
  <c r="T32" i="1" l="1"/>
  <c r="T35" i="1" s="1"/>
  <c r="W35" i="1" s="1"/>
  <c r="R34" i="1" s="1"/>
  <c r="S29" i="1" s="1"/>
  <c r="E15" i="1"/>
  <c r="D52" i="1"/>
  <c r="U52" i="1" s="1"/>
  <c r="F5" i="1" l="1"/>
  <c r="H52" i="1" s="1"/>
  <c r="H53" i="1" l="1"/>
  <c r="H54" i="1" l="1"/>
  <c r="H55" i="1" l="1"/>
  <c r="C53" i="1"/>
  <c r="D53" i="1" s="1"/>
  <c r="U53" i="1" s="1"/>
  <c r="B53" i="1"/>
  <c r="B54" i="1" s="1"/>
  <c r="F52" i="1"/>
  <c r="G52" i="1"/>
  <c r="I52" i="1" s="1"/>
  <c r="C54" i="1" l="1"/>
  <c r="D54" i="1" s="1"/>
  <c r="U54" i="1" s="1"/>
  <c r="H56" i="1"/>
  <c r="B55" i="1"/>
  <c r="F53" i="1"/>
  <c r="G53" i="1"/>
  <c r="I53" i="1" s="1"/>
  <c r="F54" i="1" l="1"/>
  <c r="C55" i="1"/>
  <c r="D55" i="1" s="1"/>
  <c r="G54" i="1"/>
  <c r="I54" i="1" s="1"/>
  <c r="H57" i="1"/>
  <c r="B56" i="1"/>
  <c r="C56" i="1" l="1"/>
  <c r="D56" i="1" s="1"/>
  <c r="G55" i="1"/>
  <c r="I55" i="1" s="1"/>
  <c r="U55" i="1"/>
  <c r="F55" i="1"/>
  <c r="H58" i="1"/>
  <c r="B57" i="1"/>
  <c r="C57" i="1" l="1"/>
  <c r="F56" i="1"/>
  <c r="U56" i="1"/>
  <c r="H59" i="1"/>
  <c r="G56" i="1"/>
  <c r="I56" i="1" s="1"/>
  <c r="D57" i="1"/>
  <c r="C58" i="1"/>
  <c r="B58" i="1"/>
  <c r="G57" i="1" l="1"/>
  <c r="I57" i="1" s="1"/>
  <c r="U57" i="1"/>
  <c r="H60" i="1"/>
  <c r="D58" i="1"/>
  <c r="G58" i="1" s="1"/>
  <c r="I58" i="1" s="1"/>
  <c r="C59" i="1"/>
  <c r="F57" i="1"/>
  <c r="B59" i="1"/>
  <c r="F58" i="1" l="1"/>
  <c r="U58" i="1"/>
  <c r="H61" i="1"/>
  <c r="D59" i="1"/>
  <c r="U59" i="1" s="1"/>
  <c r="C60" i="1"/>
  <c r="B60" i="1"/>
  <c r="F59" i="1" l="1"/>
  <c r="G59" i="1"/>
  <c r="I59" i="1" s="1"/>
  <c r="H62" i="1"/>
  <c r="B61" i="1"/>
  <c r="D60" i="1"/>
  <c r="C61" i="1"/>
  <c r="G60" i="1" l="1"/>
  <c r="I60" i="1" s="1"/>
  <c r="U60" i="1"/>
  <c r="H63" i="1"/>
  <c r="D61" i="1"/>
  <c r="C62" i="1"/>
  <c r="F60" i="1"/>
  <c r="B62" i="1"/>
  <c r="F61" i="1"/>
  <c r="G61" i="1" l="1"/>
  <c r="I61" i="1" s="1"/>
  <c r="U61" i="1"/>
  <c r="H64" i="1"/>
  <c r="D62" i="1"/>
  <c r="U62" i="1" s="1"/>
  <c r="C63" i="1"/>
  <c r="B63" i="1"/>
  <c r="F62" i="1" l="1"/>
  <c r="G62" i="1"/>
  <c r="I62" i="1" s="1"/>
  <c r="H65" i="1"/>
  <c r="D63" i="1"/>
  <c r="U63" i="1" s="1"/>
  <c r="C64" i="1"/>
  <c r="B64" i="1"/>
  <c r="F63" i="1" l="1"/>
  <c r="G63" i="1"/>
  <c r="I63" i="1" s="1"/>
  <c r="H66" i="1"/>
  <c r="B65" i="1"/>
  <c r="D64" i="1"/>
  <c r="C65" i="1"/>
  <c r="F64" i="1" l="1"/>
  <c r="U64" i="1"/>
  <c r="H67" i="1"/>
  <c r="G64" i="1"/>
  <c r="I64" i="1" s="1"/>
  <c r="D65" i="1"/>
  <c r="C66" i="1"/>
  <c r="B66" i="1"/>
  <c r="G65" i="1" l="1"/>
  <c r="I65" i="1" s="1"/>
  <c r="U65" i="1"/>
  <c r="H68" i="1"/>
  <c r="D66" i="1"/>
  <c r="U66" i="1" s="1"/>
  <c r="C67" i="1"/>
  <c r="F65" i="1"/>
  <c r="B67" i="1"/>
  <c r="F66" i="1" l="1"/>
  <c r="G66" i="1"/>
  <c r="I66" i="1" s="1"/>
  <c r="H69" i="1"/>
  <c r="B68" i="1"/>
  <c r="D67" i="1"/>
  <c r="C68" i="1"/>
  <c r="G67" i="1" l="1"/>
  <c r="I67" i="1" s="1"/>
  <c r="U67" i="1"/>
  <c r="H70" i="1"/>
  <c r="B69" i="1"/>
  <c r="D68" i="1"/>
  <c r="C69" i="1"/>
  <c r="F67" i="1"/>
  <c r="G68" i="1" l="1"/>
  <c r="I68" i="1" s="1"/>
  <c r="U68" i="1"/>
  <c r="F68" i="1"/>
  <c r="H71" i="1"/>
  <c r="D69" i="1"/>
  <c r="G69" i="1" s="1"/>
  <c r="I69" i="1" s="1"/>
  <c r="C70" i="1"/>
  <c r="B70" i="1"/>
  <c r="F69" i="1" l="1"/>
  <c r="U69" i="1"/>
  <c r="H72" i="1"/>
  <c r="D70" i="1"/>
  <c r="U70" i="1" s="1"/>
  <c r="C71" i="1"/>
  <c r="B71" i="1"/>
  <c r="G70" i="1"/>
  <c r="I70" i="1" s="1"/>
  <c r="F70" i="1"/>
  <c r="H73" i="1" l="1"/>
  <c r="D71" i="1"/>
  <c r="U71" i="1" s="1"/>
  <c r="C72" i="1"/>
  <c r="B72" i="1"/>
  <c r="F71" i="1" l="1"/>
  <c r="G71" i="1"/>
  <c r="I71" i="1" s="1"/>
  <c r="H74" i="1"/>
  <c r="D72" i="1"/>
  <c r="C73" i="1"/>
  <c r="B73" i="1"/>
  <c r="G72" i="1" l="1"/>
  <c r="I72" i="1" s="1"/>
  <c r="U72" i="1"/>
  <c r="H75" i="1"/>
  <c r="B74" i="1"/>
  <c r="D73" i="1"/>
  <c r="C74" i="1"/>
  <c r="F72" i="1"/>
  <c r="G73" i="1" l="1"/>
  <c r="I73" i="1" s="1"/>
  <c r="U73" i="1"/>
  <c r="H76" i="1"/>
  <c r="F73" i="1"/>
  <c r="B75" i="1"/>
  <c r="D74" i="1"/>
  <c r="C75" i="1"/>
  <c r="G74" i="1" l="1"/>
  <c r="I74" i="1" s="1"/>
  <c r="U74" i="1"/>
  <c r="H77" i="1"/>
  <c r="F74" i="1"/>
  <c r="B76" i="1"/>
  <c r="D75" i="1"/>
  <c r="C76" i="1"/>
  <c r="G75" i="1" l="1"/>
  <c r="I75" i="1" s="1"/>
  <c r="U75" i="1"/>
  <c r="H78" i="1"/>
  <c r="F75" i="1"/>
  <c r="B77" i="1"/>
  <c r="D76" i="1"/>
  <c r="C77" i="1"/>
  <c r="G76" i="1" l="1"/>
  <c r="I76" i="1" s="1"/>
  <c r="U76" i="1"/>
  <c r="H79" i="1"/>
  <c r="F76" i="1"/>
  <c r="B78" i="1"/>
  <c r="D77" i="1"/>
  <c r="C78" i="1"/>
  <c r="G77" i="1" l="1"/>
  <c r="I77" i="1" s="1"/>
  <c r="U77" i="1"/>
  <c r="H80" i="1"/>
  <c r="B79" i="1"/>
  <c r="D78" i="1"/>
  <c r="C79" i="1"/>
  <c r="F77" i="1"/>
  <c r="G78" i="1" l="1"/>
  <c r="I78" i="1" s="1"/>
  <c r="U78" i="1"/>
  <c r="H81" i="1"/>
  <c r="D79" i="1"/>
  <c r="U79" i="1" s="1"/>
  <c r="C80" i="1"/>
  <c r="B80" i="1"/>
  <c r="F78" i="1"/>
  <c r="F79" i="1" l="1"/>
  <c r="G79" i="1"/>
  <c r="I79" i="1" s="1"/>
  <c r="H82" i="1"/>
  <c r="D80" i="1"/>
  <c r="U80" i="1" s="1"/>
  <c r="C81" i="1"/>
  <c r="B81" i="1"/>
  <c r="F80" i="1" l="1"/>
  <c r="G80" i="1"/>
  <c r="I80" i="1" s="1"/>
  <c r="H83" i="1"/>
  <c r="D81" i="1"/>
  <c r="U81" i="1" s="1"/>
  <c r="C82" i="1"/>
  <c r="B82" i="1"/>
  <c r="F81" i="1" l="1"/>
  <c r="G81" i="1"/>
  <c r="I81" i="1" s="1"/>
  <c r="H84" i="1"/>
  <c r="B83" i="1"/>
  <c r="D82" i="1"/>
  <c r="C83" i="1"/>
  <c r="G82" i="1" l="1"/>
  <c r="I82" i="1" s="1"/>
  <c r="U82" i="1"/>
  <c r="F82" i="1"/>
  <c r="H85" i="1"/>
  <c r="D83" i="1"/>
  <c r="C84" i="1"/>
  <c r="B84" i="1"/>
  <c r="G83" i="1" l="1"/>
  <c r="I83" i="1" s="1"/>
  <c r="U83" i="1"/>
  <c r="H86" i="1"/>
  <c r="B85" i="1"/>
  <c r="D84" i="1"/>
  <c r="C85" i="1"/>
  <c r="F83" i="1"/>
  <c r="G84" i="1" l="1"/>
  <c r="I84" i="1" s="1"/>
  <c r="U84" i="1"/>
  <c r="H87" i="1"/>
  <c r="D85" i="1"/>
  <c r="U85" i="1" s="1"/>
  <c r="C86" i="1"/>
  <c r="F84" i="1"/>
  <c r="B86" i="1"/>
  <c r="G85" i="1" l="1"/>
  <c r="I85" i="1" s="1"/>
  <c r="F85" i="1"/>
  <c r="H88" i="1"/>
  <c r="D86" i="1"/>
  <c r="U86" i="1" s="1"/>
  <c r="C87" i="1"/>
  <c r="B87" i="1"/>
  <c r="G86" i="1"/>
  <c r="I86" i="1" s="1"/>
  <c r="F86" i="1"/>
  <c r="C88" i="1" l="1"/>
  <c r="D87" i="1"/>
  <c r="U87" i="1" s="1"/>
  <c r="B88" i="1"/>
  <c r="G87" i="1"/>
  <c r="I87" i="1" s="1"/>
  <c r="F87" i="1"/>
  <c r="D88" i="1" l="1"/>
  <c r="U88" i="1" s="1"/>
  <c r="F88" i="1" l="1"/>
  <c r="G88" i="1"/>
  <c r="I88" i="1" s="1"/>
  <c r="C20" i="1"/>
  <c r="F7" i="1" l="1"/>
  <c r="C24" i="1"/>
  <c r="C21" i="1"/>
  <c r="C22" i="1" s="1"/>
  <c r="L30" i="1" l="1"/>
  <c r="C29" i="1"/>
  <c r="Q32" i="1" s="1"/>
  <c r="C34" i="1"/>
  <c r="C30" i="1"/>
  <c r="F30" i="1" s="1"/>
  <c r="C25" i="1"/>
  <c r="G30" i="1" l="1"/>
  <c r="L33" i="1"/>
  <c r="F29" i="1"/>
  <c r="C37" i="1" a="1"/>
  <c r="C37" i="1" s="1"/>
  <c r="Q34" i="1" s="1"/>
  <c r="F25" i="1"/>
  <c r="D25" i="1"/>
  <c r="Q31" i="1" s="1"/>
  <c r="C27" i="1"/>
  <c r="F27" i="1" s="1"/>
  <c r="C26" i="1"/>
  <c r="F26" i="1" s="1"/>
  <c r="V29" i="1" l="1"/>
  <c r="S30" i="1" s="1"/>
  <c r="L32" i="1"/>
  <c r="G25" i="1"/>
  <c r="L31" i="1" s="1"/>
  <c r="G29" i="1"/>
  <c r="D37" i="1"/>
  <c r="L34" i="1" s="1"/>
  <c r="G26" i="1"/>
  <c r="J25" i="1" s="1"/>
  <c r="D26" i="1"/>
  <c r="C28" i="1"/>
  <c r="F28" i="1" s="1"/>
  <c r="D27" i="1"/>
  <c r="V52" i="1" s="1"/>
  <c r="W52" i="1" l="1"/>
  <c r="AB52" i="1" s="1"/>
  <c r="V53" i="1"/>
  <c r="E52" i="1"/>
  <c r="E26" i="1"/>
  <c r="L29" i="1" s="1"/>
  <c r="J28" i="1"/>
  <c r="Q52" i="1"/>
  <c r="Q53" i="1" s="1"/>
  <c r="Q54" i="1" s="1"/>
  <c r="Q55" i="1" s="1"/>
  <c r="Q56" i="1" s="1"/>
  <c r="Q57" i="1" s="1"/>
  <c r="Q58" i="1" s="1"/>
  <c r="Q59" i="1" s="1"/>
  <c r="Q60" i="1" s="1"/>
  <c r="Q61" i="1" s="1"/>
  <c r="Q62" i="1" s="1"/>
  <c r="Q63" i="1" s="1"/>
  <c r="Q64" i="1" s="1"/>
  <c r="Q65" i="1" s="1"/>
  <c r="Q66" i="1" s="1"/>
  <c r="Q67" i="1" s="1"/>
  <c r="Q68" i="1" s="1"/>
  <c r="Q69" i="1" s="1"/>
  <c r="Q70" i="1" s="1"/>
  <c r="Q71" i="1" s="1"/>
  <c r="Q72" i="1" s="1"/>
  <c r="Q73" i="1" s="1"/>
  <c r="Q74" i="1" s="1"/>
  <c r="Q75" i="1" s="1"/>
  <c r="Q76" i="1" s="1"/>
  <c r="Q77" i="1" s="1"/>
  <c r="Q78" i="1" s="1"/>
  <c r="Q79" i="1" s="1"/>
  <c r="Q80" i="1" s="1"/>
  <c r="Q81" i="1" s="1"/>
  <c r="Q82" i="1" s="1"/>
  <c r="Q83" i="1" s="1"/>
  <c r="Q84" i="1" s="1"/>
  <c r="Q85" i="1" s="1"/>
  <c r="Q86" i="1" s="1"/>
  <c r="Q87" i="1" s="1"/>
  <c r="Q88" i="1" s="1"/>
  <c r="J52" i="1"/>
  <c r="J27" i="1"/>
  <c r="L27" i="1" s="1"/>
  <c r="O25" i="1"/>
  <c r="L25" i="1"/>
  <c r="N25" i="1" s="1"/>
  <c r="O31" i="1" s="1"/>
  <c r="Q25" i="1"/>
  <c r="J26" i="1"/>
  <c r="D28" i="1"/>
  <c r="C32" i="1" l="1"/>
  <c r="C36" i="1" s="1"/>
  <c r="O28" i="1"/>
  <c r="Q28" i="1"/>
  <c r="S52" i="1"/>
  <c r="K52" i="1" s="1"/>
  <c r="L52" i="1" s="1"/>
  <c r="R52" i="1" s="1"/>
  <c r="L28" i="1"/>
  <c r="S28" i="1" s="1"/>
  <c r="Q35" i="1" s="1"/>
  <c r="AC52" i="1"/>
  <c r="W53" i="1"/>
  <c r="W54" i="1" s="1"/>
  <c r="W55" i="1" s="1"/>
  <c r="W56" i="1" s="1"/>
  <c r="W57" i="1" s="1"/>
  <c r="W58" i="1" s="1"/>
  <c r="W59" i="1" s="1"/>
  <c r="W60" i="1" s="1"/>
  <c r="W61" i="1" s="1"/>
  <c r="W62" i="1" s="1"/>
  <c r="W63" i="1" s="1"/>
  <c r="W64" i="1" s="1"/>
  <c r="W65" i="1" s="1"/>
  <c r="W66" i="1" s="1"/>
  <c r="W67" i="1" s="1"/>
  <c r="W68" i="1" s="1"/>
  <c r="W69" i="1" s="1"/>
  <c r="W70" i="1" s="1"/>
  <c r="W71" i="1" s="1"/>
  <c r="W72" i="1" s="1"/>
  <c r="W73" i="1" s="1"/>
  <c r="W74" i="1" s="1"/>
  <c r="W75" i="1" s="1"/>
  <c r="W76" i="1" s="1"/>
  <c r="W77" i="1" s="1"/>
  <c r="W78" i="1" s="1"/>
  <c r="W79" i="1" s="1"/>
  <c r="W80" i="1" s="1"/>
  <c r="W81" i="1" s="1"/>
  <c r="W82" i="1" s="1"/>
  <c r="W83" i="1" s="1"/>
  <c r="W84" i="1" s="1"/>
  <c r="W85" i="1" s="1"/>
  <c r="W86" i="1" s="1"/>
  <c r="W87" i="1" s="1"/>
  <c r="X52" i="1"/>
  <c r="V54" i="1"/>
  <c r="E53" i="1"/>
  <c r="T52" i="1"/>
  <c r="J53" i="1"/>
  <c r="O27" i="1"/>
  <c r="Q27" i="1"/>
  <c r="L26" i="1"/>
  <c r="Q26" i="1"/>
  <c r="O26" i="1"/>
  <c r="C31" i="1"/>
  <c r="C35" i="1" s="1"/>
  <c r="O52" i="1" l="1"/>
  <c r="S53" i="1"/>
  <c r="K53" i="1" s="1"/>
  <c r="O53" i="1" s="1"/>
  <c r="R28" i="1"/>
  <c r="L35" i="1"/>
  <c r="Z52" i="1"/>
  <c r="AA52" i="1"/>
  <c r="AB53" i="1"/>
  <c r="Y52" i="1"/>
  <c r="X53" i="1"/>
  <c r="X54" i="1" s="1"/>
  <c r="X55" i="1" s="1"/>
  <c r="X56" i="1" s="1"/>
  <c r="X57" i="1" s="1"/>
  <c r="X58" i="1" s="1"/>
  <c r="X59" i="1" s="1"/>
  <c r="X60" i="1" s="1"/>
  <c r="X61" i="1" s="1"/>
  <c r="X62" i="1" s="1"/>
  <c r="X63" i="1" s="1"/>
  <c r="X64" i="1" s="1"/>
  <c r="X65" i="1" s="1"/>
  <c r="X66" i="1" s="1"/>
  <c r="X67" i="1" s="1"/>
  <c r="X68" i="1" s="1"/>
  <c r="X69" i="1" s="1"/>
  <c r="X70" i="1" s="1"/>
  <c r="X71" i="1" s="1"/>
  <c r="X72" i="1" s="1"/>
  <c r="X73" i="1" s="1"/>
  <c r="X74" i="1" s="1"/>
  <c r="X75" i="1" s="1"/>
  <c r="X76" i="1" s="1"/>
  <c r="X77" i="1" s="1"/>
  <c r="X78" i="1" s="1"/>
  <c r="X79" i="1" s="1"/>
  <c r="X80" i="1" s="1"/>
  <c r="X81" i="1" s="1"/>
  <c r="X82" i="1" s="1"/>
  <c r="X83" i="1" s="1"/>
  <c r="X84" i="1" s="1"/>
  <c r="X85" i="1" s="1"/>
  <c r="X86" i="1" s="1"/>
  <c r="X87" i="1" s="1"/>
  <c r="X88" i="1" s="1"/>
  <c r="V55" i="1"/>
  <c r="T53" i="1"/>
  <c r="E54" i="1"/>
  <c r="T28" i="1"/>
  <c r="J54" i="1"/>
  <c r="R26" i="1"/>
  <c r="L53" i="1" l="1"/>
  <c r="R53" i="1" s="1"/>
  <c r="S54" i="1"/>
  <c r="S55" i="1" s="1"/>
  <c r="K55" i="1" s="1"/>
  <c r="AB54" i="1"/>
  <c r="AC53" i="1"/>
  <c r="Z53" i="1" s="1"/>
  <c r="Y53" i="1"/>
  <c r="V56" i="1"/>
  <c r="E55" i="1"/>
  <c r="T54" i="1"/>
  <c r="J55" i="1"/>
  <c r="S56" i="1" l="1"/>
  <c r="S57" i="1" s="1"/>
  <c r="K54" i="1"/>
  <c r="L54" i="1" s="1"/>
  <c r="R54" i="1" s="1"/>
  <c r="AA53" i="1"/>
  <c r="AB55" i="1"/>
  <c r="AC54" i="1"/>
  <c r="Y54" i="1"/>
  <c r="V57" i="1"/>
  <c r="E56" i="1"/>
  <c r="T55" i="1"/>
  <c r="J56" i="1"/>
  <c r="O55" i="1"/>
  <c r="L55" i="1"/>
  <c r="R55" i="1" s="1"/>
  <c r="O54" i="1" l="1"/>
  <c r="K56" i="1"/>
  <c r="L56" i="1" s="1"/>
  <c r="R56" i="1" s="1"/>
  <c r="Z54" i="1"/>
  <c r="AA54" i="1"/>
  <c r="AC55" i="1"/>
  <c r="AB56" i="1"/>
  <c r="Y55" i="1"/>
  <c r="V58" i="1"/>
  <c r="E57" i="1"/>
  <c r="T56" i="1"/>
  <c r="J57" i="1"/>
  <c r="S58" i="1"/>
  <c r="K57" i="1"/>
  <c r="O56" i="1" l="1"/>
  <c r="AB57" i="1"/>
  <c r="AC56" i="1"/>
  <c r="Z55" i="1"/>
  <c r="AA55" i="1"/>
  <c r="Y56" i="1"/>
  <c r="V59" i="1"/>
  <c r="E58" i="1"/>
  <c r="T57" i="1"/>
  <c r="S59" i="1"/>
  <c r="K58" i="1"/>
  <c r="J58" i="1"/>
  <c r="O57" i="1"/>
  <c r="L57" i="1"/>
  <c r="R57" i="1" s="1"/>
  <c r="AA56" i="1" l="1"/>
  <c r="Z56" i="1"/>
  <c r="AB58" i="1"/>
  <c r="AC57" i="1"/>
  <c r="Y57" i="1"/>
  <c r="V60" i="1"/>
  <c r="E59" i="1"/>
  <c r="T58" i="1"/>
  <c r="J59" i="1"/>
  <c r="O58" i="1"/>
  <c r="L58" i="1"/>
  <c r="R58" i="1" s="1"/>
  <c r="S60" i="1"/>
  <c r="K59" i="1"/>
  <c r="AA57" i="1" l="1"/>
  <c r="Z57" i="1"/>
  <c r="AB59" i="1"/>
  <c r="AC58" i="1"/>
  <c r="Y58" i="1"/>
  <c r="V61" i="1"/>
  <c r="E60" i="1"/>
  <c r="T59" i="1"/>
  <c r="S61" i="1"/>
  <c r="K60" i="1"/>
  <c r="J60" i="1"/>
  <c r="O59" i="1"/>
  <c r="L59" i="1"/>
  <c r="R59" i="1" s="1"/>
  <c r="AA58" i="1" l="1"/>
  <c r="Z58" i="1"/>
  <c r="AB60" i="1"/>
  <c r="AC59" i="1"/>
  <c r="Y59" i="1"/>
  <c r="V62" i="1"/>
  <c r="E61" i="1"/>
  <c r="T60" i="1"/>
  <c r="J61" i="1"/>
  <c r="L60" i="1"/>
  <c r="R60" i="1" s="1"/>
  <c r="O60" i="1"/>
  <c r="S62" i="1"/>
  <c r="K61" i="1"/>
  <c r="Z59" i="1" l="1"/>
  <c r="AA59" i="1"/>
  <c r="AB61" i="1"/>
  <c r="AC60" i="1"/>
  <c r="Y60" i="1"/>
  <c r="V63" i="1"/>
  <c r="E62" i="1"/>
  <c r="T61" i="1"/>
  <c r="S63" i="1"/>
  <c r="K62" i="1"/>
  <c r="J62" i="1"/>
  <c r="O61" i="1"/>
  <c r="L61" i="1"/>
  <c r="R61" i="1" s="1"/>
  <c r="AA60" i="1" l="1"/>
  <c r="Z60" i="1"/>
  <c r="AB62" i="1"/>
  <c r="AC61" i="1"/>
  <c r="Y61" i="1"/>
  <c r="V64" i="1"/>
  <c r="E63" i="1"/>
  <c r="T62" i="1"/>
  <c r="J63" i="1"/>
  <c r="O62" i="1"/>
  <c r="L62" i="1"/>
  <c r="R62" i="1" s="1"/>
  <c r="S64" i="1"/>
  <c r="K63" i="1"/>
  <c r="AA61" i="1" l="1"/>
  <c r="Z61" i="1"/>
  <c r="AC62" i="1"/>
  <c r="AB63" i="1"/>
  <c r="Y62" i="1"/>
  <c r="V65" i="1"/>
  <c r="E64" i="1"/>
  <c r="T63" i="1"/>
  <c r="S65" i="1"/>
  <c r="K64" i="1"/>
  <c r="J64" i="1"/>
  <c r="O63" i="1"/>
  <c r="L63" i="1"/>
  <c r="R63" i="1" s="1"/>
  <c r="AB64" i="1" l="1"/>
  <c r="AC63" i="1"/>
  <c r="AA62" i="1"/>
  <c r="Z62" i="1"/>
  <c r="Y63" i="1"/>
  <c r="V66" i="1"/>
  <c r="E65" i="1"/>
  <c r="T64" i="1"/>
  <c r="J65" i="1"/>
  <c r="L64" i="1"/>
  <c r="R64" i="1" s="1"/>
  <c r="O64" i="1"/>
  <c r="S66" i="1"/>
  <c r="K65" i="1"/>
  <c r="AA63" i="1" l="1"/>
  <c r="Z63" i="1"/>
  <c r="AB65" i="1"/>
  <c r="AC64" i="1"/>
  <c r="Y64" i="1"/>
  <c r="V67" i="1"/>
  <c r="E66" i="1"/>
  <c r="T65" i="1"/>
  <c r="S67" i="1"/>
  <c r="K66" i="1"/>
  <c r="J66" i="1"/>
  <c r="O65" i="1"/>
  <c r="L65" i="1"/>
  <c r="R65" i="1" s="1"/>
  <c r="AA64" i="1" l="1"/>
  <c r="Z64" i="1"/>
  <c r="AB66" i="1"/>
  <c r="AC65" i="1"/>
  <c r="Y65" i="1"/>
  <c r="V68" i="1"/>
  <c r="E67" i="1"/>
  <c r="T66" i="1"/>
  <c r="J67" i="1"/>
  <c r="O66" i="1"/>
  <c r="L66" i="1"/>
  <c r="R66" i="1" s="1"/>
  <c r="S68" i="1"/>
  <c r="K67" i="1"/>
  <c r="AA65" i="1" l="1"/>
  <c r="Z65" i="1"/>
  <c r="AB67" i="1"/>
  <c r="AC66" i="1"/>
  <c r="Y66" i="1"/>
  <c r="V69" i="1"/>
  <c r="E68" i="1"/>
  <c r="T67" i="1"/>
  <c r="S69" i="1"/>
  <c r="K68" i="1"/>
  <c r="J68" i="1"/>
  <c r="O67" i="1"/>
  <c r="L67" i="1"/>
  <c r="R67" i="1" s="1"/>
  <c r="Z66" i="1" l="1"/>
  <c r="AA66" i="1"/>
  <c r="AB68" i="1"/>
  <c r="AC67" i="1"/>
  <c r="Y67" i="1"/>
  <c r="V70" i="1"/>
  <c r="E69" i="1"/>
  <c r="T68" i="1"/>
  <c r="J69" i="1"/>
  <c r="L68" i="1"/>
  <c r="R68" i="1" s="1"/>
  <c r="O68" i="1"/>
  <c r="S70" i="1"/>
  <c r="K69" i="1"/>
  <c r="AB69" i="1" l="1"/>
  <c r="AC68" i="1"/>
  <c r="AA67" i="1"/>
  <c r="Z67" i="1"/>
  <c r="Y68" i="1"/>
  <c r="V71" i="1"/>
  <c r="E70" i="1"/>
  <c r="T69" i="1"/>
  <c r="S71" i="1"/>
  <c r="K70" i="1"/>
  <c r="J70" i="1"/>
  <c r="O69" i="1"/>
  <c r="L69" i="1"/>
  <c r="R69" i="1" s="1"/>
  <c r="Z68" i="1" l="1"/>
  <c r="AA68" i="1"/>
  <c r="AB70" i="1"/>
  <c r="AC69" i="1"/>
  <c r="Y69" i="1"/>
  <c r="V72" i="1"/>
  <c r="E71" i="1"/>
  <c r="T70" i="1"/>
  <c r="J71" i="1"/>
  <c r="O70" i="1"/>
  <c r="L70" i="1"/>
  <c r="R70" i="1" s="1"/>
  <c r="S72" i="1"/>
  <c r="K71" i="1"/>
  <c r="AA69" i="1" l="1"/>
  <c r="Z69" i="1"/>
  <c r="AB71" i="1"/>
  <c r="AC70" i="1"/>
  <c r="Y70" i="1"/>
  <c r="V73" i="1"/>
  <c r="E72" i="1"/>
  <c r="T71" i="1"/>
  <c r="S73" i="1"/>
  <c r="K72" i="1"/>
  <c r="J72" i="1"/>
  <c r="O71" i="1"/>
  <c r="L71" i="1"/>
  <c r="R71" i="1" s="1"/>
  <c r="Z70" i="1" l="1"/>
  <c r="AA70" i="1"/>
  <c r="AB72" i="1"/>
  <c r="AC71" i="1"/>
  <c r="Y71" i="1"/>
  <c r="V74" i="1"/>
  <c r="E73" i="1"/>
  <c r="T72" i="1"/>
  <c r="J73" i="1"/>
  <c r="L72" i="1"/>
  <c r="R72" i="1" s="1"/>
  <c r="O72" i="1"/>
  <c r="S74" i="1"/>
  <c r="K73" i="1"/>
  <c r="AA71" i="1" l="1"/>
  <c r="Z71" i="1"/>
  <c r="AB73" i="1"/>
  <c r="AC72" i="1"/>
  <c r="Y72" i="1"/>
  <c r="V75" i="1"/>
  <c r="E74" i="1"/>
  <c r="T73" i="1"/>
  <c r="S75" i="1"/>
  <c r="K74" i="1"/>
  <c r="J74" i="1"/>
  <c r="O73" i="1"/>
  <c r="L73" i="1"/>
  <c r="R73" i="1" s="1"/>
  <c r="AA72" i="1" l="1"/>
  <c r="Z72" i="1"/>
  <c r="AB74" i="1"/>
  <c r="AC73" i="1"/>
  <c r="Y73" i="1"/>
  <c r="V76" i="1"/>
  <c r="E75" i="1"/>
  <c r="T74" i="1"/>
  <c r="J75" i="1"/>
  <c r="O74" i="1"/>
  <c r="L74" i="1"/>
  <c r="R74" i="1" s="1"/>
  <c r="S76" i="1"/>
  <c r="K75" i="1"/>
  <c r="AA73" i="1" l="1"/>
  <c r="Z73" i="1"/>
  <c r="AB75" i="1"/>
  <c r="AC74" i="1"/>
  <c r="Y74" i="1"/>
  <c r="V77" i="1"/>
  <c r="E76" i="1"/>
  <c r="T75" i="1"/>
  <c r="S77" i="1"/>
  <c r="K76" i="1"/>
  <c r="J76" i="1"/>
  <c r="O75" i="1"/>
  <c r="L75" i="1"/>
  <c r="R75" i="1" s="1"/>
  <c r="Z74" i="1" l="1"/>
  <c r="AA74" i="1"/>
  <c r="AB76" i="1"/>
  <c r="AC75" i="1"/>
  <c r="Y75" i="1"/>
  <c r="V78" i="1"/>
  <c r="E77" i="1"/>
  <c r="T76" i="1"/>
  <c r="J77" i="1"/>
  <c r="L76" i="1"/>
  <c r="R76" i="1" s="1"/>
  <c r="O76" i="1"/>
  <c r="S78" i="1"/>
  <c r="K77" i="1"/>
  <c r="Z75" i="1" l="1"/>
  <c r="AA75" i="1"/>
  <c r="AC76" i="1"/>
  <c r="AB77" i="1"/>
  <c r="Y76" i="1"/>
  <c r="V79" i="1"/>
  <c r="E78" i="1"/>
  <c r="T77" i="1"/>
  <c r="S79" i="1"/>
  <c r="K78" i="1"/>
  <c r="J78" i="1"/>
  <c r="O77" i="1"/>
  <c r="L77" i="1"/>
  <c r="R77" i="1" s="1"/>
  <c r="AB78" i="1" l="1"/>
  <c r="AC77" i="1"/>
  <c r="AA76" i="1"/>
  <c r="Z76" i="1"/>
  <c r="Y77" i="1"/>
  <c r="V80" i="1"/>
  <c r="E79" i="1"/>
  <c r="T78" i="1"/>
  <c r="J79" i="1"/>
  <c r="O78" i="1"/>
  <c r="L78" i="1"/>
  <c r="R78" i="1" s="1"/>
  <c r="S80" i="1"/>
  <c r="K79" i="1"/>
  <c r="Z77" i="1" l="1"/>
  <c r="AA77" i="1"/>
  <c r="AC78" i="1"/>
  <c r="AB79" i="1"/>
  <c r="Y78" i="1"/>
  <c r="V81" i="1"/>
  <c r="E80" i="1"/>
  <c r="T79" i="1"/>
  <c r="S81" i="1"/>
  <c r="K80" i="1"/>
  <c r="J80" i="1"/>
  <c r="O79" i="1"/>
  <c r="L79" i="1"/>
  <c r="R79" i="1" s="1"/>
  <c r="AB80" i="1" l="1"/>
  <c r="AC79" i="1"/>
  <c r="AA78" i="1"/>
  <c r="Z78" i="1"/>
  <c r="Y79" i="1"/>
  <c r="V82" i="1"/>
  <c r="E81" i="1"/>
  <c r="T80" i="1"/>
  <c r="J81" i="1"/>
  <c r="L80" i="1"/>
  <c r="R80" i="1" s="1"/>
  <c r="O80" i="1"/>
  <c r="S82" i="1"/>
  <c r="K81" i="1"/>
  <c r="Z79" i="1" l="1"/>
  <c r="AA79" i="1"/>
  <c r="AC80" i="1"/>
  <c r="AB81" i="1"/>
  <c r="Y80" i="1"/>
  <c r="V83" i="1"/>
  <c r="E82" i="1"/>
  <c r="T81" i="1"/>
  <c r="S83" i="1"/>
  <c r="K82" i="1"/>
  <c r="J82" i="1"/>
  <c r="O81" i="1"/>
  <c r="L81" i="1"/>
  <c r="R81" i="1" s="1"/>
  <c r="AB82" i="1" l="1"/>
  <c r="AC81" i="1"/>
  <c r="AA80" i="1"/>
  <c r="Z80" i="1"/>
  <c r="Y81" i="1"/>
  <c r="V84" i="1"/>
  <c r="E83" i="1"/>
  <c r="T82" i="1"/>
  <c r="J83" i="1"/>
  <c r="O82" i="1"/>
  <c r="L82" i="1"/>
  <c r="R82" i="1" s="1"/>
  <c r="S84" i="1"/>
  <c r="K83" i="1"/>
  <c r="AA81" i="1" l="1"/>
  <c r="Z81" i="1"/>
  <c r="AC82" i="1"/>
  <c r="AB83" i="1"/>
  <c r="Y82" i="1"/>
  <c r="V85" i="1"/>
  <c r="E84" i="1"/>
  <c r="T83" i="1"/>
  <c r="S85" i="1"/>
  <c r="K84" i="1"/>
  <c r="J84" i="1"/>
  <c r="O83" i="1"/>
  <c r="L83" i="1"/>
  <c r="R83" i="1" s="1"/>
  <c r="AB84" i="1" l="1"/>
  <c r="AC83" i="1"/>
  <c r="Z82" i="1"/>
  <c r="AA82" i="1"/>
  <c r="Y83" i="1"/>
  <c r="V86" i="1"/>
  <c r="E85" i="1"/>
  <c r="T84" i="1"/>
  <c r="J85" i="1"/>
  <c r="L84" i="1"/>
  <c r="R84" i="1" s="1"/>
  <c r="O84" i="1"/>
  <c r="S86" i="1"/>
  <c r="K85" i="1"/>
  <c r="AA83" i="1" l="1"/>
  <c r="Z83" i="1"/>
  <c r="AC84" i="1"/>
  <c r="AB85" i="1"/>
  <c r="Y84" i="1"/>
  <c r="V87" i="1"/>
  <c r="E86" i="1"/>
  <c r="T85" i="1"/>
  <c r="S87" i="1"/>
  <c r="K86" i="1"/>
  <c r="J86" i="1"/>
  <c r="O85" i="1"/>
  <c r="L85" i="1"/>
  <c r="R85" i="1" s="1"/>
  <c r="AB86" i="1" l="1"/>
  <c r="AC85" i="1"/>
  <c r="Z84" i="1"/>
  <c r="AA84" i="1"/>
  <c r="Y85" i="1"/>
  <c r="V88" i="1"/>
  <c r="E87" i="1"/>
  <c r="T86" i="1"/>
  <c r="J87" i="1"/>
  <c r="O86" i="1"/>
  <c r="L86" i="1"/>
  <c r="R86" i="1" s="1"/>
  <c r="S88" i="1"/>
  <c r="K88" i="1" s="1"/>
  <c r="K87" i="1"/>
  <c r="AA85" i="1" l="1"/>
  <c r="Z85" i="1"/>
  <c r="AC86" i="1"/>
  <c r="AB87" i="1"/>
  <c r="Y86" i="1"/>
  <c r="E88" i="1"/>
  <c r="T88" i="1" s="1"/>
  <c r="T87" i="1"/>
  <c r="J88" i="1"/>
  <c r="O87" i="1"/>
  <c r="L87" i="1"/>
  <c r="R87" i="1" s="1"/>
  <c r="AB88" i="1" l="1"/>
  <c r="AC88" i="1" s="1"/>
  <c r="AC87" i="1"/>
  <c r="Z86" i="1"/>
  <c r="AA86" i="1"/>
  <c r="Y87" i="1"/>
  <c r="L88" i="1"/>
  <c r="R88" i="1" s="1"/>
  <c r="O88" i="1"/>
  <c r="Z87" i="1" l="1"/>
  <c r="AA87" i="1"/>
  <c r="AA88" i="1"/>
  <c r="Z88" i="1"/>
  <c r="Y8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<sst xmlns="http://schemas.openxmlformats.org/spreadsheetml/2006/main" count="115" uniqueCount="86">
  <si>
    <t>rad</t>
  </si>
  <si>
    <t>A</t>
  </si>
  <si>
    <t>W</t>
  </si>
  <si>
    <t>VAR</t>
  </si>
  <si>
    <t>Ig</t>
  </si>
  <si>
    <t>HAN University of Applied Sciences, Arnhem, the Netherlands</t>
  </si>
  <si>
    <t>© Amperes.nl      email:  info@amperes.nl</t>
  </si>
  <si>
    <t>For private use only and not for commercial settings</t>
  </si>
  <si>
    <t>V/A</t>
  </si>
  <si>
    <t>Nm</t>
  </si>
  <si>
    <t>Ω</t>
  </si>
  <si>
    <t>degs</t>
  </si>
  <si>
    <t>QU12 =</t>
  </si>
  <si>
    <t>PU12 =</t>
  </si>
  <si>
    <t>Qg3f =</t>
  </si>
  <si>
    <t>Pg3f =</t>
  </si>
  <si>
    <t>QX12 =</t>
  </si>
  <si>
    <t>Psom =</t>
  </si>
  <si>
    <t>Qsom =</t>
  </si>
  <si>
    <t>Hz</t>
  </si>
  <si>
    <t>tbv vetoren tekenen</t>
  </si>
  <si>
    <t>rad bygestseld</t>
  </si>
  <si>
    <t>(-X1-X)/R =</t>
  </si>
  <si>
    <t>Igmax</t>
  </si>
  <si>
    <t>degr</t>
  </si>
  <si>
    <t>cos</t>
  </si>
  <si>
    <t>sin</t>
  </si>
  <si>
    <t>Sg3f =</t>
  </si>
  <si>
    <t>MVA</t>
  </si>
  <si>
    <t>0,3*Ug</t>
  </si>
  <si>
    <t>Ug</t>
  </si>
  <si>
    <t>lasthoek</t>
  </si>
  <si>
    <t>if</t>
  </si>
  <si>
    <t>Smax cos</t>
  </si>
  <si>
    <t>Smax sin</t>
  </si>
  <si>
    <t>Pmax</t>
  </si>
  <si>
    <t>MW</t>
  </si>
  <si>
    <t>°</t>
  </si>
  <si>
    <t>Ð</t>
  </si>
  <si>
    <r>
      <rPr>
        <u/>
        <sz val="11"/>
        <color theme="0"/>
        <rFont val="Calibri"/>
        <family val="2"/>
        <scheme val="minor"/>
      </rPr>
      <t>Z</t>
    </r>
    <r>
      <rPr>
        <sz val="11"/>
        <color theme="0"/>
        <rFont val="Calibri"/>
        <family val="2"/>
        <scheme val="minor"/>
      </rPr>
      <t xml:space="preserve"> =</t>
    </r>
  </si>
  <si>
    <r>
      <rPr>
        <u/>
        <sz val="11"/>
        <color theme="0"/>
        <rFont val="Calibri"/>
        <family val="2"/>
        <scheme val="minor"/>
      </rPr>
      <t>I</t>
    </r>
    <r>
      <rPr>
        <sz val="11"/>
        <color theme="0"/>
        <rFont val="Calibri"/>
        <family val="2"/>
        <scheme val="minor"/>
      </rPr>
      <t>g =</t>
    </r>
  </si>
  <si>
    <r>
      <rPr>
        <u/>
        <sz val="11"/>
        <color theme="0"/>
        <rFont val="Calibri"/>
        <family val="2"/>
        <scheme val="minor"/>
      </rPr>
      <t>U</t>
    </r>
    <r>
      <rPr>
        <sz val="11"/>
        <color theme="0"/>
        <rFont val="Calibri"/>
        <family val="2"/>
        <scheme val="minor"/>
      </rPr>
      <t>g =</t>
    </r>
  </si>
  <si>
    <r>
      <rPr>
        <u/>
        <sz val="11"/>
        <color theme="0"/>
        <rFont val="Calibri"/>
        <family val="2"/>
        <scheme val="minor"/>
      </rPr>
      <t>U</t>
    </r>
    <r>
      <rPr>
        <sz val="11"/>
        <color theme="0"/>
        <rFont val="Calibri"/>
        <family val="2"/>
        <scheme val="minor"/>
      </rPr>
      <t>x1 =</t>
    </r>
  </si>
  <si>
    <r>
      <rPr>
        <u/>
        <sz val="11"/>
        <color theme="0"/>
        <rFont val="Calibri"/>
        <family val="2"/>
        <scheme val="minor"/>
      </rPr>
      <t>U</t>
    </r>
    <r>
      <rPr>
        <sz val="11"/>
        <color theme="0"/>
        <rFont val="Calibri"/>
        <family val="2"/>
        <scheme val="minor"/>
      </rPr>
      <t>12 =</t>
    </r>
  </si>
  <si>
    <t>cos lasthoek - U12</t>
  </si>
  <si>
    <t>Capacity curve Synchronous Generator</t>
  </si>
  <si>
    <t>frequency =</t>
  </si>
  <si>
    <t>Fill in red values:</t>
  </si>
  <si>
    <t>V</t>
  </si>
  <si>
    <t>δ</t>
  </si>
  <si>
    <t>&lt;70</t>
  </si>
  <si>
    <t>I2 min cos</t>
  </si>
  <si>
    <t>I2min sin</t>
  </si>
  <si>
    <t>min. 3A</t>
  </si>
  <si>
    <t>max. 85 A</t>
  </si>
  <si>
    <r>
      <t>I</t>
    </r>
    <r>
      <rPr>
        <sz val="14"/>
        <color theme="0"/>
        <rFont val="Calibri"/>
        <family val="2"/>
        <scheme val="minor"/>
      </rPr>
      <t>2</t>
    </r>
    <r>
      <rPr>
        <sz val="12"/>
        <color theme="0"/>
        <rFont val="Calibri"/>
        <family val="2"/>
        <scheme val="minor"/>
      </rPr>
      <t>min</t>
    </r>
  </si>
  <si>
    <t xml:space="preserve">λ </t>
  </si>
  <si>
    <t xml:space="preserve">frequency </t>
  </si>
  <si>
    <r>
      <t>T</t>
    </r>
    <r>
      <rPr>
        <b/>
        <sz val="12"/>
        <color theme="1"/>
        <rFont val="Calibri"/>
        <family val="2"/>
        <scheme val="minor"/>
      </rPr>
      <t xml:space="preserve">shaft </t>
    </r>
    <r>
      <rPr>
        <b/>
        <sz val="18"/>
        <color theme="1"/>
        <rFont val="Calibri"/>
        <family val="2"/>
        <scheme val="minor"/>
      </rPr>
      <t>=</t>
    </r>
  </si>
  <si>
    <r>
      <t>R</t>
    </r>
    <r>
      <rPr>
        <b/>
        <sz val="12"/>
        <rFont val="Calibri"/>
        <family val="2"/>
        <scheme val="minor"/>
      </rPr>
      <t xml:space="preserve">g </t>
    </r>
    <r>
      <rPr>
        <b/>
        <sz val="18"/>
        <rFont val="Calibri"/>
        <family val="2"/>
        <scheme val="minor"/>
      </rPr>
      <t>=</t>
    </r>
  </si>
  <si>
    <r>
      <t>X</t>
    </r>
    <r>
      <rPr>
        <b/>
        <sz val="12"/>
        <rFont val="Calibri"/>
        <family val="2"/>
        <scheme val="minor"/>
      </rPr>
      <t xml:space="preserve">g </t>
    </r>
    <r>
      <rPr>
        <b/>
        <sz val="18"/>
        <rFont val="Calibri"/>
        <family val="2"/>
        <scheme val="minor"/>
      </rPr>
      <t>=</t>
    </r>
  </si>
  <si>
    <r>
      <t>I</t>
    </r>
    <r>
      <rPr>
        <b/>
        <sz val="12"/>
        <rFont val="Calibri"/>
        <family val="2"/>
      </rPr>
      <t>2</t>
    </r>
    <r>
      <rPr>
        <b/>
        <sz val="18"/>
        <rFont val="Calibri"/>
        <family val="2"/>
      </rPr>
      <t xml:space="preserve"> exitation current =</t>
    </r>
  </si>
  <si>
    <t>Specs:</t>
  </si>
  <si>
    <r>
      <t>S</t>
    </r>
    <r>
      <rPr>
        <b/>
        <sz val="12"/>
        <color theme="1"/>
        <rFont val="Calibri"/>
        <family val="2"/>
        <scheme val="minor"/>
      </rPr>
      <t xml:space="preserve">g3phase </t>
    </r>
  </si>
  <si>
    <r>
      <t>P</t>
    </r>
    <r>
      <rPr>
        <b/>
        <sz val="12"/>
        <color theme="1"/>
        <rFont val="Calibri"/>
        <family val="2"/>
        <scheme val="minor"/>
      </rPr>
      <t>generator max</t>
    </r>
  </si>
  <si>
    <r>
      <t>X</t>
    </r>
    <r>
      <rPr>
        <b/>
        <sz val="12"/>
        <rFont val="Calibri"/>
        <family val="2"/>
        <scheme val="minor"/>
      </rPr>
      <t>1</t>
    </r>
    <r>
      <rPr>
        <b/>
        <sz val="18"/>
        <rFont val="Calibri"/>
        <family val="2"/>
        <scheme val="minor"/>
      </rPr>
      <t xml:space="preserve"> </t>
    </r>
  </si>
  <si>
    <r>
      <t>Ug</t>
    </r>
    <r>
      <rPr>
        <b/>
        <sz val="12"/>
        <rFont val="Calibri"/>
        <family val="2"/>
        <scheme val="minor"/>
      </rPr>
      <t>1phase</t>
    </r>
    <r>
      <rPr>
        <b/>
        <sz val="18"/>
        <rFont val="Calibri"/>
        <family val="2"/>
        <scheme val="minor"/>
      </rPr>
      <t xml:space="preserve"> </t>
    </r>
  </si>
  <si>
    <r>
      <t>I</t>
    </r>
    <r>
      <rPr>
        <b/>
        <sz val="12"/>
        <rFont val="Calibri"/>
        <family val="2"/>
        <scheme val="minor"/>
      </rPr>
      <t>2 min/max</t>
    </r>
    <r>
      <rPr>
        <b/>
        <sz val="18"/>
        <rFont val="Calibri"/>
        <family val="2"/>
        <scheme val="minor"/>
      </rPr>
      <t xml:space="preserve"> </t>
    </r>
  </si>
  <si>
    <r>
      <t>I</t>
    </r>
    <r>
      <rPr>
        <b/>
        <sz val="12"/>
        <rFont val="Calibri"/>
        <family val="2"/>
        <scheme val="minor"/>
      </rPr>
      <t>g max</t>
    </r>
    <r>
      <rPr>
        <b/>
        <sz val="18"/>
        <rFont val="Calibri"/>
        <family val="2"/>
        <scheme val="minor"/>
      </rPr>
      <t xml:space="preserve"> </t>
    </r>
  </si>
  <si>
    <r>
      <t xml:space="preserve">load angle </t>
    </r>
    <r>
      <rPr>
        <b/>
        <sz val="18"/>
        <rFont val="Calibri"/>
        <family val="2"/>
      </rPr>
      <t xml:space="preserve">δ </t>
    </r>
  </si>
  <si>
    <t>± 0,001%</t>
  </si>
  <si>
    <t>Ux1</t>
  </si>
  <si>
    <t>90gr</t>
  </si>
  <si>
    <t>j25</t>
  </si>
  <si>
    <t>stop</t>
  </si>
  <si>
    <r>
      <t>ϕ</t>
    </r>
    <r>
      <rPr>
        <sz val="6.8"/>
        <color theme="0"/>
        <rFont val="Calibri"/>
        <family val="2"/>
      </rPr>
      <t>ig</t>
    </r>
  </si>
  <si>
    <t>kW</t>
  </si>
  <si>
    <t>kVA</t>
  </si>
  <si>
    <t>± 1%</t>
  </si>
  <si>
    <t>kVAR</t>
  </si>
  <si>
    <t xml:space="preserve">  Tshaft suggestion:</t>
  </si>
  <si>
    <t xml:space="preserve">  I2 suggestion: </t>
  </si>
  <si>
    <r>
      <rPr>
        <b/>
        <u/>
        <sz val="18"/>
        <rFont val="Calibri"/>
        <family val="2"/>
        <scheme val="minor"/>
      </rPr>
      <t>U</t>
    </r>
    <r>
      <rPr>
        <b/>
        <sz val="18"/>
        <rFont val="Calibri"/>
        <family val="2"/>
        <scheme val="minor"/>
      </rPr>
      <t>g =</t>
    </r>
  </si>
  <si>
    <r>
      <rPr>
        <b/>
        <u/>
        <sz val="18"/>
        <color rgb="FF0070C0"/>
        <rFont val="Calibri"/>
        <family val="2"/>
        <scheme val="minor"/>
      </rPr>
      <t>I</t>
    </r>
    <r>
      <rPr>
        <b/>
        <sz val="18"/>
        <color rgb="FF0070C0"/>
        <rFont val="Calibri"/>
        <family val="2"/>
        <scheme val="minor"/>
      </rPr>
      <t>g</t>
    </r>
    <r>
      <rPr>
        <b/>
        <sz val="18"/>
        <color rgb="FF0070C0"/>
        <rFont val="Symbol"/>
        <family val="1"/>
        <charset val="2"/>
      </rPr>
      <t>Ð</t>
    </r>
    <r>
      <rPr>
        <b/>
        <sz val="18"/>
        <color rgb="FF0070C0"/>
        <rFont val="Calibri"/>
        <family val="2"/>
      </rPr>
      <t>ϕ =</t>
    </r>
  </si>
  <si>
    <r>
      <t xml:space="preserve">Load angle </t>
    </r>
    <r>
      <rPr>
        <b/>
        <sz val="18"/>
        <rFont val="Calibri"/>
        <family val="2"/>
      </rPr>
      <t>δ</t>
    </r>
    <r>
      <rPr>
        <b/>
        <sz val="18"/>
        <rFont val="Calibri"/>
        <family val="2"/>
        <scheme val="minor"/>
      </rPr>
      <t xml:space="preserve"> =</t>
    </r>
  </si>
  <si>
    <t>Bram Steennis     Version 18 March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</si>
</sst>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,##0.0"/>
    <numFmt numFmtId="166" formatCode="0.00000"/>
  </numFmts>
  <fonts count="4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0"/>
      <name val="Calibri"/>
      <family val="2"/>
    </font>
    <font>
      <u/>
      <sz val="11"/>
      <color theme="0"/>
      <name val="Calibri"/>
      <family val="2"/>
      <scheme val="minor"/>
    </font>
    <font>
      <sz val="16"/>
      <color theme="0"/>
      <name val="Symbol"/>
      <family val="1"/>
      <charset val="2"/>
    </font>
    <font>
      <sz val="18"/>
      <name val="Calibri"/>
      <family val="2"/>
    </font>
    <font>
      <sz val="1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u/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b/>
      <sz val="18"/>
      <name val="Calibri"/>
      <family val="2"/>
      <scheme val="minor"/>
    </font>
    <font>
      <b/>
      <sz val="18"/>
      <color rgb="FFFF0000"/>
      <name val="Calibri"/>
      <family val="2"/>
    </font>
    <font>
      <b/>
      <sz val="18"/>
      <color theme="1"/>
      <name val="Calibri"/>
      <family val="2"/>
      <scheme val="minor"/>
    </font>
    <font>
      <b/>
      <sz val="18"/>
      <color rgb="FFFF0000"/>
      <name val="Calibri"/>
      <family val="2"/>
      <scheme val="minor"/>
    </font>
    <font>
      <b/>
      <sz val="18"/>
      <name val="Calibri"/>
      <family val="2"/>
    </font>
    <font>
      <sz val="18"/>
      <color theme="0"/>
      <name val="Calibri"/>
      <family val="2"/>
    </font>
    <font>
      <sz val="18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name val="Calibri"/>
      <family val="2"/>
    </font>
    <font>
      <b/>
      <sz val="12"/>
      <color theme="1"/>
      <name val="Calibri"/>
      <family val="2"/>
      <scheme val="minor"/>
    </font>
    <font>
      <b/>
      <sz val="11"/>
      <color rgb="FFFF0000"/>
      <name val="Calibri"/>
      <family val="2"/>
    </font>
    <font>
      <b/>
      <sz val="48"/>
      <name val="Calibri"/>
      <family val="2"/>
      <scheme val="minor"/>
    </font>
    <font>
      <sz val="6.8"/>
      <color theme="0"/>
      <name val="Calibri"/>
      <family val="2"/>
    </font>
    <font>
      <b/>
      <u/>
      <sz val="11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8"/>
      <color rgb="FFFF0000"/>
      <name val="Calibri"/>
      <family val="2"/>
      <scheme val="minor"/>
    </font>
    <font>
      <b/>
      <sz val="18"/>
      <color rgb="FF00B050"/>
      <name val="Calibri"/>
      <family val="2"/>
      <scheme val="minor"/>
    </font>
    <font>
      <sz val="18"/>
      <color rgb="FF00B050"/>
      <name val="Calibri"/>
      <family val="2"/>
      <scheme val="minor"/>
    </font>
    <font>
      <b/>
      <u/>
      <sz val="18"/>
      <name val="Calibri"/>
      <family val="2"/>
      <scheme val="minor"/>
    </font>
    <font>
      <b/>
      <sz val="18"/>
      <color theme="1"/>
      <name val="Symbol"/>
      <family val="1"/>
      <charset val="2"/>
    </font>
    <font>
      <b/>
      <sz val="18"/>
      <color rgb="FF0070C0"/>
      <name val="Calibri"/>
      <family val="2"/>
      <scheme val="minor"/>
    </font>
    <font>
      <b/>
      <u/>
      <sz val="18"/>
      <color rgb="FF0070C0"/>
      <name val="Calibri"/>
      <family val="2"/>
      <scheme val="minor"/>
    </font>
    <font>
      <b/>
      <sz val="18"/>
      <color rgb="FF0070C0"/>
      <name val="Symbol"/>
      <family val="1"/>
      <charset val="2"/>
    </font>
    <font>
      <b/>
      <sz val="18"/>
      <color rgb="FF0070C0"/>
      <name val="Calibri"/>
      <family val="2"/>
    </font>
    <font>
      <b/>
      <sz val="18"/>
      <color rgb="FFC00000"/>
      <name val="Calibri"/>
      <family val="2"/>
      <scheme val="minor"/>
    </font>
    <font>
      <b/>
      <u/>
      <sz val="18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8">
    <xf numFmtId="0" fontId="0" fillId="0" borderId="0" xfId="0"/>
    <xf numFmtId="2" fontId="1" fillId="0" borderId="0" xfId="0" applyNumberFormat="1" applyFont="1"/>
    <xf numFmtId="0" fontId="1" fillId="0" borderId="0" xfId="0" applyFont="1"/>
    <xf numFmtId="0" fontId="3" fillId="0" borderId="0" xfId="0" applyFont="1"/>
    <xf numFmtId="2" fontId="4" fillId="0" borderId="0" xfId="0" applyNumberFormat="1" applyFont="1"/>
    <xf numFmtId="2" fontId="3" fillId="0" borderId="0" xfId="0" applyNumberFormat="1" applyFont="1"/>
    <xf numFmtId="2" fontId="3" fillId="0" borderId="0" xfId="0" applyNumberFormat="1" applyFont="1" applyAlignment="1">
      <alignment horizontal="center"/>
    </xf>
    <xf numFmtId="11" fontId="3" fillId="0" borderId="0" xfId="0" applyNumberFormat="1" applyFont="1" applyAlignment="1">
      <alignment horizontal="center"/>
    </xf>
    <xf numFmtId="2" fontId="3" fillId="0" borderId="0" xfId="0" applyNumberFormat="1" applyFont="1" applyFill="1" applyAlignment="1">
      <alignment horizontal="center"/>
    </xf>
    <xf numFmtId="2" fontId="3" fillId="0" borderId="0" xfId="0" applyNumberFormat="1" applyFont="1" applyFill="1" applyAlignment="1">
      <alignment horizontal="left" indent="2"/>
    </xf>
    <xf numFmtId="0" fontId="3" fillId="0" borderId="0" xfId="0" applyFont="1" applyAlignment="1">
      <alignment horizontal="center"/>
    </xf>
    <xf numFmtId="0" fontId="6" fillId="0" borderId="0" xfId="0" applyFont="1"/>
    <xf numFmtId="165" fontId="6" fillId="0" borderId="0" xfId="0" applyNumberFormat="1" applyFont="1"/>
    <xf numFmtId="1" fontId="6" fillId="0" borderId="0" xfId="0" applyNumberFormat="1" applyFont="1"/>
    <xf numFmtId="164" fontId="6" fillId="0" borderId="0" xfId="0" applyNumberFormat="1" applyFont="1"/>
    <xf numFmtId="2" fontId="6" fillId="0" borderId="0" xfId="0" applyNumberFormat="1" applyFont="1"/>
    <xf numFmtId="2" fontId="6" fillId="0" borderId="0" xfId="0" applyNumberFormat="1" applyFont="1" applyAlignment="1">
      <alignment horizontal="center"/>
    </xf>
    <xf numFmtId="0" fontId="6" fillId="0" borderId="0" xfId="0" applyFont="1" applyBorder="1"/>
    <xf numFmtId="2" fontId="6" fillId="0" borderId="0" xfId="0" applyNumberFormat="1" applyFont="1" applyBorder="1"/>
    <xf numFmtId="3" fontId="6" fillId="0" borderId="0" xfId="0" applyNumberFormat="1" applyFont="1" applyBorder="1"/>
    <xf numFmtId="2" fontId="6" fillId="0" borderId="0" xfId="0" applyNumberFormat="1" applyFont="1" applyBorder="1" applyAlignment="1">
      <alignment horizontal="left"/>
    </xf>
    <xf numFmtId="1" fontId="6" fillId="0" borderId="0" xfId="0" applyNumberFormat="1" applyFont="1" applyBorder="1"/>
    <xf numFmtId="3" fontId="6" fillId="0" borderId="0" xfId="0" applyNumberFormat="1" applyFont="1" applyBorder="1" applyAlignment="1">
      <alignment horizontal="right"/>
    </xf>
    <xf numFmtId="0" fontId="5" fillId="0" borderId="0" xfId="0" applyFont="1" applyBorder="1" applyAlignment="1">
      <alignment horizontal="right" vertical="center"/>
    </xf>
    <xf numFmtId="2" fontId="6" fillId="0" borderId="0" xfId="0" applyNumberFormat="1" applyFont="1" applyBorder="1" applyAlignment="1">
      <alignment horizontal="right"/>
    </xf>
    <xf numFmtId="0" fontId="6" fillId="0" borderId="0" xfId="0" applyFont="1" applyBorder="1" applyAlignment="1">
      <alignment horizontal="right" vertical="center"/>
    </xf>
    <xf numFmtId="2" fontId="7" fillId="0" borderId="0" xfId="0" applyNumberFormat="1" applyFont="1" applyBorder="1"/>
    <xf numFmtId="2" fontId="9" fillId="0" borderId="0" xfId="0" applyNumberFormat="1" applyFont="1"/>
    <xf numFmtId="0" fontId="6" fillId="0" borderId="0" xfId="0" applyFont="1" applyAlignment="1">
      <alignment horizontal="center"/>
    </xf>
    <xf numFmtId="2" fontId="6" fillId="0" borderId="0" xfId="0" applyNumberFormat="1" applyFont="1" applyFill="1"/>
    <xf numFmtId="4" fontId="6" fillId="0" borderId="0" xfId="0" applyNumberFormat="1" applyFont="1" applyFill="1"/>
    <xf numFmtId="2" fontId="10" fillId="0" borderId="0" xfId="0" applyNumberFormat="1" applyFont="1"/>
    <xf numFmtId="164" fontId="11" fillId="0" borderId="0" xfId="0" applyNumberFormat="1" applyFont="1"/>
    <xf numFmtId="2" fontId="1" fillId="0" borderId="0" xfId="0" applyNumberFormat="1" applyFont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4" fillId="0" borderId="0" xfId="0" applyFont="1" applyFill="1" applyBorder="1" applyAlignment="1">
      <alignment horizontal="center"/>
    </xf>
    <xf numFmtId="2" fontId="1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2" fontId="15" fillId="0" borderId="0" xfId="0" applyNumberFormat="1" applyFont="1"/>
    <xf numFmtId="2" fontId="1" fillId="0" borderId="0" xfId="0" applyNumberFormat="1" applyFont="1" applyFill="1" applyAlignment="1">
      <alignment horizontal="center"/>
    </xf>
    <xf numFmtId="0" fontId="1" fillId="0" borderId="0" xfId="0" applyFont="1" applyBorder="1"/>
    <xf numFmtId="0" fontId="13" fillId="0" borderId="0" xfId="0" applyFont="1" applyFill="1" applyBorder="1" applyAlignment="1">
      <alignment horizontal="left" vertical="center"/>
    </xf>
    <xf numFmtId="2" fontId="16" fillId="3" borderId="3" xfId="0" applyNumberFormat="1" applyFont="1" applyFill="1" applyBorder="1"/>
    <xf numFmtId="0" fontId="18" fillId="3" borderId="11" xfId="0" applyFont="1" applyFill="1" applyBorder="1"/>
    <xf numFmtId="0" fontId="18" fillId="3" borderId="13" xfId="0" applyFont="1" applyFill="1" applyBorder="1"/>
    <xf numFmtId="2" fontId="16" fillId="3" borderId="4" xfId="0" applyNumberFormat="1" applyFont="1" applyFill="1" applyBorder="1"/>
    <xf numFmtId="2" fontId="20" fillId="3" borderId="5" xfId="0" applyNumberFormat="1" applyFont="1" applyFill="1" applyBorder="1"/>
    <xf numFmtId="2" fontId="16" fillId="3" borderId="6" xfId="0" applyNumberFormat="1" applyFont="1" applyFill="1" applyBorder="1"/>
    <xf numFmtId="2" fontId="20" fillId="3" borderId="8" xfId="0" applyNumberFormat="1" applyFont="1" applyFill="1" applyBorder="1"/>
    <xf numFmtId="2" fontId="1" fillId="0" borderId="0" xfId="0" applyNumberFormat="1" applyFont="1" applyBorder="1"/>
    <xf numFmtId="2" fontId="13" fillId="0" borderId="0" xfId="0" applyNumberFormat="1" applyFont="1" applyFill="1" applyBorder="1" applyAlignment="1">
      <alignment horizontal="right" vertical="center"/>
    </xf>
    <xf numFmtId="0" fontId="1" fillId="0" borderId="0" xfId="0" applyFont="1" applyBorder="1" applyAlignment="1">
      <alignment horizontal="right" vertical="center"/>
    </xf>
    <xf numFmtId="2" fontId="13" fillId="0" borderId="0" xfId="0" applyNumberFormat="1" applyFont="1" applyBorder="1" applyAlignment="1">
      <alignment horizontal="right" vertical="center"/>
    </xf>
    <xf numFmtId="2" fontId="21" fillId="0" borderId="0" xfId="0" applyNumberFormat="1" applyFont="1"/>
    <xf numFmtId="0" fontId="13" fillId="0" borderId="0" xfId="0" applyFont="1" applyBorder="1" applyAlignment="1">
      <alignment horizontal="right" vertical="center"/>
    </xf>
    <xf numFmtId="2" fontId="20" fillId="3" borderId="1" xfId="0" applyNumberFormat="1" applyFont="1" applyFill="1" applyBorder="1"/>
    <xf numFmtId="2" fontId="22" fillId="0" borderId="0" xfId="0" applyNumberFormat="1" applyFont="1"/>
    <xf numFmtId="2" fontId="19" fillId="0" borderId="0" xfId="0" applyNumberFormat="1" applyFont="1"/>
    <xf numFmtId="0" fontId="16" fillId="0" borderId="0" xfId="0" applyFont="1"/>
    <xf numFmtId="0" fontId="12" fillId="0" borderId="0" xfId="0" applyFont="1"/>
    <xf numFmtId="0" fontId="18" fillId="0" borderId="0" xfId="0" applyFont="1" applyBorder="1"/>
    <xf numFmtId="0" fontId="12" fillId="0" borderId="0" xfId="0" applyFont="1" applyBorder="1"/>
    <xf numFmtId="164" fontId="16" fillId="0" borderId="0" xfId="0" applyNumberFormat="1" applyFont="1" applyBorder="1"/>
    <xf numFmtId="2" fontId="16" fillId="0" borderId="0" xfId="0" applyNumberFormat="1" applyFont="1" applyBorder="1"/>
    <xf numFmtId="2" fontId="2" fillId="0" borderId="0" xfId="0" applyNumberFormat="1" applyFont="1" applyBorder="1"/>
    <xf numFmtId="164" fontId="16" fillId="0" borderId="12" xfId="0" applyNumberFormat="1" applyFont="1" applyBorder="1"/>
    <xf numFmtId="2" fontId="20" fillId="0" borderId="12" xfId="0" applyNumberFormat="1" applyFont="1" applyBorder="1"/>
    <xf numFmtId="2" fontId="28" fillId="0" borderId="12" xfId="0" applyNumberFormat="1" applyFont="1" applyBorder="1"/>
    <xf numFmtId="1" fontId="16" fillId="0" borderId="0" xfId="0" applyNumberFormat="1" applyFont="1" applyBorder="1"/>
    <xf numFmtId="2" fontId="20" fillId="0" borderId="0" xfId="0" applyNumberFormat="1" applyFont="1" applyBorder="1"/>
    <xf numFmtId="1" fontId="16" fillId="0" borderId="0" xfId="0" applyNumberFormat="1" applyFont="1" applyBorder="1" applyAlignment="1">
      <alignment horizontal="right"/>
    </xf>
    <xf numFmtId="2" fontId="28" fillId="0" borderId="0" xfId="0" applyNumberFormat="1" applyFont="1" applyBorder="1"/>
    <xf numFmtId="0" fontId="18" fillId="0" borderId="1" xfId="0" applyFont="1" applyBorder="1"/>
    <xf numFmtId="0" fontId="18" fillId="0" borderId="2" xfId="0" applyFont="1" applyBorder="1"/>
    <xf numFmtId="0" fontId="12" fillId="0" borderId="2" xfId="0" applyFont="1" applyBorder="1"/>
    <xf numFmtId="0" fontId="12" fillId="0" borderId="3" xfId="0" applyFont="1" applyBorder="1"/>
    <xf numFmtId="0" fontId="18" fillId="0" borderId="4" xfId="0" applyFont="1" applyBorder="1"/>
    <xf numFmtId="0" fontId="5" fillId="0" borderId="5" xfId="0" applyFont="1" applyBorder="1"/>
    <xf numFmtId="2" fontId="20" fillId="0" borderId="4" xfId="0" applyNumberFormat="1" applyFont="1" applyBorder="1"/>
    <xf numFmtId="2" fontId="2" fillId="0" borderId="5" xfId="0" applyNumberFormat="1" applyFont="1" applyBorder="1"/>
    <xf numFmtId="2" fontId="16" fillId="0" borderId="11" xfId="0" applyNumberFormat="1" applyFont="1" applyBorder="1"/>
    <xf numFmtId="2" fontId="5" fillId="0" borderId="13" xfId="0" applyNumberFormat="1" applyFont="1" applyBorder="1"/>
    <xf numFmtId="2" fontId="16" fillId="0" borderId="4" xfId="0" applyNumberFormat="1" applyFont="1" applyBorder="1"/>
    <xf numFmtId="2" fontId="5" fillId="0" borderId="5" xfId="0" applyNumberFormat="1" applyFont="1" applyBorder="1"/>
    <xf numFmtId="2" fontId="16" fillId="0" borderId="6" xfId="0" applyNumberFormat="1" applyFont="1" applyBorder="1"/>
    <xf numFmtId="1" fontId="16" fillId="0" borderId="7" xfId="0" applyNumberFormat="1" applyFont="1" applyBorder="1" applyAlignment="1">
      <alignment horizontal="right"/>
    </xf>
    <xf numFmtId="2" fontId="20" fillId="0" borderId="7" xfId="0" applyNumberFormat="1" applyFont="1" applyBorder="1"/>
    <xf numFmtId="2" fontId="5" fillId="0" borderId="8" xfId="0" applyNumberFormat="1" applyFont="1" applyBorder="1"/>
    <xf numFmtId="2" fontId="11" fillId="0" borderId="0" xfId="0" applyNumberFormat="1" applyFont="1" applyAlignment="1">
      <alignment horizontal="right"/>
    </xf>
    <xf numFmtId="0" fontId="19" fillId="0" borderId="0" xfId="0" applyFont="1" applyBorder="1" applyProtection="1">
      <protection locked="0"/>
    </xf>
    <xf numFmtId="164" fontId="17" fillId="3" borderId="2" xfId="0" applyNumberFormat="1" applyFont="1" applyFill="1" applyBorder="1" applyProtection="1">
      <protection locked="0"/>
    </xf>
    <xf numFmtId="3" fontId="19" fillId="3" borderId="12" xfId="0" applyNumberFormat="1" applyFont="1" applyFill="1" applyBorder="1" applyProtection="1">
      <protection locked="0"/>
    </xf>
    <xf numFmtId="164" fontId="19" fillId="3" borderId="0" xfId="0" applyNumberFormat="1" applyFont="1" applyFill="1" applyBorder="1" applyProtection="1">
      <protection locked="0"/>
    </xf>
    <xf numFmtId="164" fontId="19" fillId="3" borderId="7" xfId="0" applyNumberFormat="1" applyFont="1" applyFill="1" applyBorder="1" applyProtection="1">
      <protection locked="0"/>
    </xf>
    <xf numFmtId="0" fontId="29" fillId="0" borderId="0" xfId="0" applyFont="1"/>
    <xf numFmtId="11" fontId="1" fillId="0" borderId="0" xfId="0" applyNumberFormat="1" applyFont="1" applyAlignment="1">
      <alignment horizontal="center"/>
    </xf>
    <xf numFmtId="2" fontId="7" fillId="0" borderId="0" xfId="0" applyNumberFormat="1" applyFont="1"/>
    <xf numFmtId="49" fontId="22" fillId="0" borderId="0" xfId="0" applyNumberFormat="1" applyFont="1"/>
    <xf numFmtId="164" fontId="6" fillId="0" borderId="0" xfId="0" applyNumberFormat="1" applyFont="1" applyAlignment="1">
      <alignment horizontal="center"/>
    </xf>
    <xf numFmtId="2" fontId="6" fillId="0" borderId="0" xfId="0" applyNumberFormat="1" applyFont="1" applyFill="1" applyAlignment="1">
      <alignment horizontal="center"/>
    </xf>
    <xf numFmtId="2" fontId="19" fillId="0" borderId="0" xfId="0" applyNumberFormat="1" applyFont="1" applyAlignment="1">
      <alignment horizontal="left"/>
    </xf>
    <xf numFmtId="2" fontId="16" fillId="0" borderId="0" xfId="0" applyNumberFormat="1" applyFont="1" applyFill="1" applyBorder="1"/>
    <xf numFmtId="0" fontId="5" fillId="0" borderId="0" xfId="0" applyFont="1" applyFill="1" applyBorder="1" applyAlignment="1">
      <alignment horizontal="center"/>
    </xf>
    <xf numFmtId="0" fontId="31" fillId="0" borderId="0" xfId="0" applyFont="1" applyFill="1" applyBorder="1" applyAlignment="1">
      <alignment horizontal="center"/>
    </xf>
    <xf numFmtId="2" fontId="32" fillId="0" borderId="0" xfId="0" applyNumberFormat="1" applyFont="1"/>
    <xf numFmtId="0" fontId="32" fillId="0" borderId="0" xfId="0" applyFont="1"/>
    <xf numFmtId="3" fontId="32" fillId="0" borderId="0" xfId="0" applyNumberFormat="1" applyFont="1" applyAlignment="1">
      <alignment horizontal="right"/>
    </xf>
    <xf numFmtId="0" fontId="33" fillId="0" borderId="0" xfId="0" applyFont="1"/>
    <xf numFmtId="2" fontId="22" fillId="0" borderId="0" xfId="0" applyNumberFormat="1" applyFont="1" applyAlignment="1">
      <alignment horizontal="center"/>
    </xf>
    <xf numFmtId="2" fontId="34" fillId="0" borderId="0" xfId="0" applyNumberFormat="1" applyFont="1"/>
    <xf numFmtId="0" fontId="35" fillId="0" borderId="0" xfId="0" applyFont="1"/>
    <xf numFmtId="0" fontId="34" fillId="0" borderId="0" xfId="0" applyFont="1" applyAlignment="1">
      <alignment horizontal="right"/>
    </xf>
    <xf numFmtId="2" fontId="34" fillId="0" borderId="0" xfId="0" applyNumberFormat="1" applyFont="1" applyAlignment="1">
      <alignment horizontal="left"/>
    </xf>
    <xf numFmtId="2" fontId="35" fillId="0" borderId="0" xfId="0" applyNumberFormat="1" applyFont="1" applyAlignment="1">
      <alignment horizontal="center"/>
    </xf>
    <xf numFmtId="2" fontId="16" fillId="2" borderId="4" xfId="0" applyNumberFormat="1" applyFont="1" applyFill="1" applyBorder="1" applyAlignment="1">
      <alignment horizontal="right"/>
    </xf>
    <xf numFmtId="166" fontId="16" fillId="2" borderId="0" xfId="0" applyNumberFormat="1" applyFont="1" applyFill="1" applyBorder="1"/>
    <xf numFmtId="2" fontId="16" fillId="2" borderId="5" xfId="0" applyNumberFormat="1" applyFont="1" applyFill="1" applyBorder="1"/>
    <xf numFmtId="2" fontId="16" fillId="2" borderId="9" xfId="0" applyNumberFormat="1" applyFont="1" applyFill="1" applyBorder="1" applyAlignment="1">
      <alignment horizontal="right"/>
    </xf>
    <xf numFmtId="165" fontId="16" fillId="2" borderId="14" xfId="0" applyNumberFormat="1" applyFont="1" applyFill="1" applyBorder="1" applyAlignment="1">
      <alignment horizontal="right"/>
    </xf>
    <xf numFmtId="2" fontId="16" fillId="2" borderId="14" xfId="0" applyNumberFormat="1" applyFont="1" applyFill="1" applyBorder="1" applyAlignment="1">
      <alignment horizontal="left"/>
    </xf>
    <xf numFmtId="0" fontId="37" fillId="2" borderId="14" xfId="0" applyFont="1" applyFill="1" applyBorder="1"/>
    <xf numFmtId="164" fontId="16" fillId="2" borderId="14" xfId="0" applyNumberFormat="1" applyFont="1" applyFill="1" applyBorder="1" applyAlignment="1">
      <alignment horizontal="center"/>
    </xf>
    <xf numFmtId="2" fontId="20" fillId="2" borderId="10" xfId="0" applyNumberFormat="1" applyFont="1" applyFill="1" applyBorder="1"/>
    <xf numFmtId="0" fontId="18" fillId="0" borderId="0" xfId="0" applyFont="1" applyFill="1" applyBorder="1"/>
    <xf numFmtId="2" fontId="38" fillId="2" borderId="9" xfId="0" applyNumberFormat="1" applyFont="1" applyFill="1" applyBorder="1" applyAlignment="1">
      <alignment horizontal="right"/>
    </xf>
    <xf numFmtId="165" fontId="38" fillId="2" borderId="14" xfId="0" applyNumberFormat="1" applyFont="1" applyFill="1" applyBorder="1" applyAlignment="1">
      <alignment horizontal="right"/>
    </xf>
    <xf numFmtId="2" fontId="38" fillId="2" borderId="14" xfId="0" applyNumberFormat="1" applyFont="1" applyFill="1" applyBorder="1" applyAlignment="1">
      <alignment horizontal="left"/>
    </xf>
    <xf numFmtId="0" fontId="40" fillId="2" borderId="14" xfId="0" applyFont="1" applyFill="1" applyBorder="1"/>
    <xf numFmtId="164" fontId="38" fillId="2" borderId="14" xfId="0" applyNumberFormat="1" applyFont="1" applyFill="1" applyBorder="1" applyAlignment="1">
      <alignment horizontal="right" indent="1"/>
    </xf>
    <xf numFmtId="2" fontId="42" fillId="2" borderId="1" xfId="0" applyNumberFormat="1" applyFont="1" applyFill="1" applyBorder="1" applyAlignment="1">
      <alignment horizontal="right"/>
    </xf>
    <xf numFmtId="3" fontId="42" fillId="2" borderId="2" xfId="0" applyNumberFormat="1" applyFont="1" applyFill="1" applyBorder="1" applyAlignment="1">
      <alignment horizontal="right"/>
    </xf>
    <xf numFmtId="2" fontId="42" fillId="2" borderId="2" xfId="0" applyNumberFormat="1" applyFont="1" applyFill="1" applyBorder="1"/>
    <xf numFmtId="0" fontId="40" fillId="2" borderId="2" xfId="0" applyFont="1" applyFill="1" applyBorder="1"/>
    <xf numFmtId="2" fontId="38" fillId="2" borderId="3" xfId="0" applyNumberFormat="1" applyFont="1" applyFill="1" applyBorder="1"/>
    <xf numFmtId="2" fontId="11" fillId="0" borderId="0" xfId="0" applyNumberFormat="1" applyFont="1"/>
    <xf numFmtId="2" fontId="33" fillId="0" borderId="0" xfId="0" applyNumberFormat="1" applyFont="1" applyAlignment="1">
      <alignment horizontal="center"/>
    </xf>
    <xf numFmtId="2" fontId="42" fillId="2" borderId="6" xfId="0" applyNumberFormat="1" applyFont="1" applyFill="1" applyBorder="1" applyAlignment="1">
      <alignment horizontal="right"/>
    </xf>
    <xf numFmtId="3" fontId="42" fillId="2" borderId="7" xfId="0" applyNumberFormat="1" applyFont="1" applyFill="1" applyBorder="1" applyAlignment="1">
      <alignment horizontal="right"/>
    </xf>
    <xf numFmtId="2" fontId="42" fillId="2" borderId="7" xfId="0" applyNumberFormat="1" applyFont="1" applyFill="1" applyBorder="1"/>
    <xf numFmtId="2" fontId="16" fillId="2" borderId="7" xfId="0" applyNumberFormat="1" applyFont="1" applyFill="1" applyBorder="1"/>
    <xf numFmtId="2" fontId="16" fillId="2" borderId="8" xfId="0" applyNumberFormat="1" applyFont="1" applyFill="1" applyBorder="1"/>
    <xf numFmtId="164" fontId="16" fillId="2" borderId="14" xfId="0" applyNumberFormat="1" applyFont="1" applyFill="1" applyBorder="1" applyAlignment="1">
      <alignment horizontal="right"/>
    </xf>
    <xf numFmtId="2" fontId="20" fillId="0" borderId="0" xfId="0" applyNumberFormat="1" applyFont="1" applyFill="1" applyBorder="1"/>
    <xf numFmtId="2" fontId="11" fillId="0" borderId="0" xfId="0" applyNumberFormat="1" applyFont="1" applyAlignment="1">
      <alignment horizontal="center"/>
    </xf>
    <xf numFmtId="0" fontId="43" fillId="0" borderId="0" xfId="0" applyFont="1" applyFill="1" applyBorder="1" applyAlignment="1">
      <alignment horizontal="center"/>
    </xf>
    <xf numFmtId="2" fontId="41" fillId="2" borderId="10" xfId="0" applyNumberFormat="1" applyFont="1" applyFill="1" applyBorder="1"/>
    <xf numFmtId="3" fontId="34" fillId="0" borderId="0" xfId="0" applyNumberFormat="1" applyFont="1" applyAlignment="1">
      <alignment horizontal="right"/>
    </xf>
  </cellXfs>
  <cellStyles count="1">
    <cellStyle name="Standaard" xfId="0" builtinId="0"/>
  </cellStyles>
  <dxfs count="0"/>
  <tableStyles count="0" defaultTableStyle="TableStyleMedium2" defaultPivotStyle="PivotStyleLight16"/>
  <colors>
    <mruColors>
      <color rgb="FFDEA900"/>
      <color rgb="FFEEE4D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8407881706998586E-2"/>
          <c:y val="3.2554624264502459E-2"/>
          <c:w val="0.93933077054495162"/>
          <c:h val="0.89781721874372855"/>
        </c:manualLayout>
      </c:layout>
      <c:scatterChart>
        <c:scatterStyle val="lineMarker"/>
        <c:varyColors val="0"/>
        <c:ser>
          <c:idx val="0"/>
          <c:order val="0"/>
          <c:tx>
            <c:v>Ug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(Blad1!$R$26,Blad1!$Q$26)</c:f>
              <c:numCache>
                <c:formatCode>0.00</c:formatCode>
                <c:ptCount val="2"/>
                <c:pt idx="0">
                  <c:v>-5777.3291153713062</c:v>
                </c:pt>
                <c:pt idx="1">
                  <c:v>0</c:v>
                </c:pt>
              </c:numCache>
            </c:numRef>
          </c:xVal>
          <c:yVal>
            <c:numRef>
              <c:f>(Blad1!$C$38,Blad1!$C$38)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723-45D9-B999-A1F7F343E225}"/>
            </c:ext>
          </c:extLst>
        </c:ser>
        <c:ser>
          <c:idx val="2"/>
          <c:order val="1"/>
          <c:tx>
            <c:v>U12</c:v>
          </c:tx>
          <c:spPr>
            <a:ln w="38100" cap="rnd">
              <a:solidFill>
                <a:srgbClr val="00B0F0"/>
              </a:solidFill>
              <a:round/>
              <a:tailEnd type="stealth" w="lg" len="lg"/>
            </a:ln>
            <a:effectLst/>
          </c:spPr>
          <c:marker>
            <c:symbol val="none"/>
          </c:marker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CB1-4B90-B19F-9D40D644DF0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l-N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(Blad1!$R$26,Blad1!$O$27)</c:f>
              <c:numCache>
                <c:formatCode>General</c:formatCode>
                <c:ptCount val="2"/>
                <c:pt idx="0" formatCode="0.00">
                  <c:v>-5777.3291153713062</c:v>
                </c:pt>
                <c:pt idx="1">
                  <c:v>3999.6893875647511</c:v>
                </c:pt>
              </c:numCache>
            </c:numRef>
          </c:xVal>
          <c:yVal>
            <c:numRef>
              <c:f>(Blad1!$C$38,Blad1!$Q$28)</c:f>
              <c:numCache>
                <c:formatCode>0.00</c:formatCode>
                <c:ptCount val="2"/>
                <c:pt idx="0" formatCode="General">
                  <c:v>0</c:v>
                </c:pt>
                <c:pt idx="1">
                  <c:v>3110.8695236614785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723-45D9-B999-A1F7F343E225}"/>
            </c:ext>
          </c:extLst>
        </c:ser>
        <c:ser>
          <c:idx val="3"/>
          <c:order val="2"/>
          <c:tx>
            <c:v>Ux</c:v>
          </c:tx>
          <c:spPr>
            <a:ln w="41275" cap="rnd">
              <a:solidFill>
                <a:schemeClr val="accent4"/>
              </a:solidFill>
              <a:round/>
              <a:tailEnd type="stealth" w="lg" len="lg"/>
            </a:ln>
            <a:effectLst/>
          </c:spPr>
          <c:marker>
            <c:symbol val="none"/>
          </c:marker>
          <c:xVal>
            <c:numRef>
              <c:f>(Blad1!$C$38,Blad1!$O$27)</c:f>
              <c:numCache>
                <c:formatCode>General</c:formatCode>
                <c:ptCount val="2"/>
                <c:pt idx="0">
                  <c:v>0</c:v>
                </c:pt>
                <c:pt idx="1">
                  <c:v>3999.6893875647511</c:v>
                </c:pt>
              </c:numCache>
            </c:numRef>
          </c:xVal>
          <c:yVal>
            <c:numRef>
              <c:f>(Blad1!$C$38,Blad1!$Q$28)</c:f>
              <c:numCache>
                <c:formatCode>0.00</c:formatCode>
                <c:ptCount val="2"/>
                <c:pt idx="0" formatCode="General">
                  <c:v>0</c:v>
                </c:pt>
                <c:pt idx="1">
                  <c:v>3110.8695236614785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A723-45D9-B999-A1F7F343E225}"/>
            </c:ext>
          </c:extLst>
        </c:ser>
        <c:ser>
          <c:idx val="1"/>
          <c:order val="3"/>
          <c:tx>
            <c:v>Smax</c:v>
          </c:tx>
          <c:spPr>
            <a:ln w="38100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dLbls>
            <c:dLbl>
              <c:idx val="9"/>
              <c:layout>
                <c:manualLayout>
                  <c:x val="1.394301418038045E-2"/>
                  <c:y val="9.1553499998010042E-8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600">
                        <a:solidFill>
                          <a:srgbClr val="C00000"/>
                        </a:solidFill>
                      </a:rPr>
                      <a:t>Sgrid max </a:t>
                    </a:r>
                  </a:p>
                </c:rich>
              </c:tx>
              <c:spPr>
                <a:noFill/>
                <a:ln>
                  <a:noFill/>
                </a:ln>
                <a:effectLst/>
              </c:sp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1766623161496693E-2"/>
                      <c:h val="9.6125007902747917E-2"/>
                    </c:manualLayout>
                  </c15:layout>
                  <c15:showDataLabelsRange val="0"/>
                </c:ext>
                <c:ext xmlns:c16="http://schemas.microsoft.com/office/drawing/2014/chart" uri="{C3380CC4-5D6E-409C-BE32-E72D297353CC}">
                  <c16:uniqueId val="{00000036-8CB1-4B90-B19F-9D40D644DF04}"/>
                </c:ext>
              </c:extLst>
            </c:dLbl>
            <c:dLbl>
              <c:idx val="16"/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600">
                        <a:solidFill>
                          <a:srgbClr val="C00000"/>
                        </a:solidFill>
                      </a:rPr>
                      <a:t>P max generator</a:t>
                    </a:r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2631562165871821"/>
                      <c:h val="4.7322945250228662E-2"/>
                    </c:manualLayout>
                  </c15:layout>
                  <c15:showDataLabelsRange val="0"/>
                </c:ext>
                <c:ext xmlns:c16="http://schemas.microsoft.com/office/drawing/2014/chart" uri="{C3380CC4-5D6E-409C-BE32-E72D297353CC}">
                  <c16:uniqueId val="{00000037-8CB1-4B90-B19F-9D40D644DF0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l-NL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Blad1!$F$52:$F$88</c:f>
              <c:numCache>
                <c:formatCode>0</c:formatCode>
                <c:ptCount val="37"/>
                <c:pt idx="0">
                  <c:v>6100</c:v>
                </c:pt>
                <c:pt idx="1">
                  <c:v>6076.7890266529621</c:v>
                </c:pt>
                <c:pt idx="2">
                  <c:v>6007.3327457212645</c:v>
                </c:pt>
                <c:pt idx="3">
                  <c:v>5892.1597302821147</c:v>
                </c:pt>
                <c:pt idx="4">
                  <c:v>5732.1464648573701</c:v>
                </c:pt>
                <c:pt idx="5">
                  <c:v>5528.51067523029</c:v>
                </c:pt>
                <c:pt idx="6">
                  <c:v>5282.8020613633462</c:v>
                </c:pt>
                <c:pt idx="7">
                  <c:v>4996.8905039409992</c:v>
                </c:pt>
                <c:pt idx="8">
                  <c:v>4672.9518342874899</c:v>
                </c:pt>
                <c:pt idx="9">
                  <c:v>4313.4512759527888</c:v>
                </c:pt>
                <c:pt idx="10">
                  <c:v>3921.1246839787796</c:v>
                </c:pt>
                <c:pt idx="11">
                  <c:v>3498.9577246178064</c:v>
                </c:pt>
                <c:pt idx="12">
                  <c:v>3050.1631539491218</c:v>
                </c:pt>
                <c:pt idx="13">
                  <c:v>2578.1563683065265</c:v>
                </c:pt>
                <c:pt idx="14">
                  <c:v>2086.529412582207</c:v>
                </c:pt>
                <c:pt idx="15">
                  <c:v>1579.0236442076389</c:v>
                </c:pt>
                <c:pt idx="16">
                  <c:v>1059.5012608428924</c:v>
                </c:pt>
                <c:pt idx="17">
                  <c:v>531.91590845303745</c:v>
                </c:pt>
                <c:pt idx="18">
                  <c:v>0.28259344876774251</c:v>
                </c:pt>
                <c:pt idx="19">
                  <c:v>-531.3528721355043</c:v>
                </c:pt>
                <c:pt idx="20">
                  <c:v>-1058.944659899119</c:v>
                </c:pt>
                <c:pt idx="21">
                  <c:v>-1578.4777144571892</c:v>
                </c:pt>
                <c:pt idx="22">
                  <c:v>-2085.9983086352072</c:v>
                </c:pt>
                <c:pt idx="23">
                  <c:v>-2577.6441319464416</c:v>
                </c:pt>
                <c:pt idx="24">
                  <c:v>-3049.6736833741465</c:v>
                </c:pt>
                <c:pt idx="25">
                  <c:v>-3498.4947447749792</c:v>
                </c:pt>
                <c:pt idx="26">
                  <c:v>-3920.691718216558</c:v>
                </c:pt>
                <c:pt idx="27">
                  <c:v>-4313.0516192078167</c:v>
                </c:pt>
                <c:pt idx="28">
                  <c:v>-4672.5885280096227</c:v>
                </c:pt>
                <c:pt idx="29">
                  <c:v>-4996.5663129473951</c:v>
                </c:pt>
                <c:pt idx="30">
                  <c:v>-5282.5194527977801</c:v>
                </c:pt>
                <c:pt idx="31">
                  <c:v>-5528.2717997878044</c:v>
                </c:pt>
                <c:pt idx="32">
                  <c:v>-5731.9531404171548</c:v>
                </c:pt>
                <c:pt idx="33">
                  <c:v>-5892.0134280731645</c:v>
                </c:pt>
                <c:pt idx="34">
                  <c:v>-6007.2345791260914</c:v>
                </c:pt>
                <c:pt idx="35">
                  <c:v>-6076.7397427345932</c:v>
                </c:pt>
                <c:pt idx="36">
                  <c:v>-6099.9999738167025</c:v>
                </c:pt>
              </c:numCache>
            </c:numRef>
          </c:xVal>
          <c:yVal>
            <c:numRef>
              <c:f>Blad1!$I$52:$I$88</c:f>
              <c:numCache>
                <c:formatCode>0</c:formatCode>
                <c:ptCount val="37"/>
                <c:pt idx="0">
                  <c:v>0</c:v>
                </c:pt>
                <c:pt idx="1">
                  <c:v>531.6343908647608</c:v>
                </c:pt>
                <c:pt idx="2">
                  <c:v>1059.2229615076426</c:v>
                </c:pt>
                <c:pt idx="3">
                  <c:v>1578.7506810265495</c:v>
                </c:pt>
                <c:pt idx="4">
                  <c:v>2086.2638628474479</c:v>
                </c:pt>
                <c:pt idx="5">
                  <c:v>2577.9002528927922</c:v>
                </c:pt>
                <c:pt idx="6">
                  <c:v>3049.9184219344588</c:v>
                </c:pt>
                <c:pt idx="7">
                  <c:v>3498.7262384508267</c:v>
                </c:pt>
                <c:pt idx="8">
                  <c:v>3920.9082053051407</c:v>
                </c:pt>
                <c:pt idx="9">
                  <c:v>4313.2514522087931</c:v>
                </c:pt>
                <c:pt idx="10">
                  <c:v>4672.7701861628411</c:v>
                </c:pt>
                <c:pt idx="11">
                  <c:v>4996.7284138061159</c:v>
                </c:pt>
                <c:pt idx="12">
                  <c:v>5282.6607627493122</c:v>
                </c:pt>
                <c:pt idx="13">
                  <c:v>5519.0476190476193</c:v>
                </c:pt>
                <c:pt idx="14">
                  <c:v>5519.0476190476193</c:v>
                </c:pt>
                <c:pt idx="15">
                  <c:v>5519.0476190476193</c:v>
                </c:pt>
                <c:pt idx="16">
                  <c:v>5519.0476190476193</c:v>
                </c:pt>
                <c:pt idx="17">
                  <c:v>5519.0476190476193</c:v>
                </c:pt>
                <c:pt idx="18">
                  <c:v>5519.0476190476193</c:v>
                </c:pt>
                <c:pt idx="19">
                  <c:v>5519.0476190476193</c:v>
                </c:pt>
                <c:pt idx="20">
                  <c:v>5519.0476190476193</c:v>
                </c:pt>
                <c:pt idx="21">
                  <c:v>5519.0476190476193</c:v>
                </c:pt>
                <c:pt idx="22">
                  <c:v>5519.0476190476193</c:v>
                </c:pt>
                <c:pt idx="23">
                  <c:v>5519.0476190476193</c:v>
                </c:pt>
                <c:pt idx="24">
                  <c:v>5282.9433486395783</c:v>
                </c:pt>
                <c:pt idx="25">
                  <c:v>4997.0525833516949</c:v>
                </c:pt>
                <c:pt idx="26">
                  <c:v>4673.1334723831815</c:v>
                </c:pt>
                <c:pt idx="27">
                  <c:v>4313.6510904393772</c:v>
                </c:pt>
                <c:pt idx="28">
                  <c:v>3921.3411542370127</c:v>
                </c:pt>
                <c:pt idx="29">
                  <c:v>3499.1892032754199</c:v>
                </c:pt>
                <c:pt idx="30">
                  <c:v>3050.4078794176107</c:v>
                </c:pt>
                <c:pt idx="31">
                  <c:v>2578.4124781870942</c:v>
                </c:pt>
                <c:pt idx="32">
                  <c:v>2086.7949578389153</c:v>
                </c:pt>
                <c:pt idx="33">
                  <c:v>1579.2966039998705</c:v>
                </c:pt>
                <c:pt idx="34">
                  <c:v>1059.7795579042686</c:v>
                </c:pt>
                <c:pt idx="35">
                  <c:v>532.19742489973157</c:v>
                </c:pt>
                <c:pt idx="36">
                  <c:v>0.56518689692899082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A723-45D9-B999-A1F7F343E225}"/>
            </c:ext>
          </c:extLst>
        </c:ser>
        <c:ser>
          <c:idx val="4"/>
          <c:order val="4"/>
          <c:tx>
            <c:v>lasthoek</c:v>
          </c:tx>
          <c:spPr>
            <a:ln w="19050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9.2922788784818144E-3"/>
                  <c:y val="-4.5938507741604018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698A322C-8702-4A44-A958-8E3D3A5B93A8}" type="CELLRANGE">
                      <a:rPr lang="el-GR" sz="2000">
                        <a:solidFill>
                          <a:sysClr val="windowText" lastClr="000000"/>
                        </a:solidFill>
                      </a:rPr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t>[CELLRANGE]</a:t>
                    </a:fld>
                    <a:endParaRPr lang="nl-NL"/>
                  </a:p>
                </c:rich>
              </c:tx>
              <c:spPr>
                <a:noFill/>
                <a:ln>
                  <a:noFill/>
                </a:ln>
                <a:effectLst/>
              </c:sp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3.838849608481823E-2"/>
                      <c:h val="5.7887034500936137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2-8CB1-4B90-B19F-9D40D644DF04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nl-N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3-8CB1-4B90-B19F-9D40D644DF0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4.7604254203695302E-2"/>
                      <c:h val="6.867819357364464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1-8CB1-4B90-B19F-9D40D644DF04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nl-N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4-8CB1-4B90-B19F-9D40D644DF04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nl-N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5-8CB1-4B90-B19F-9D40D644DF04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nl-N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6-8CB1-4B90-B19F-9D40D644DF04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endParaRPr lang="nl-N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7-8CB1-4B90-B19F-9D40D644DF04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endParaRPr lang="nl-N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8-8CB1-4B90-B19F-9D40D644DF04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endParaRPr lang="nl-N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9-8CB1-4B90-B19F-9D40D644DF04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endParaRPr lang="nl-N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A-8CB1-4B90-B19F-9D40D644DF04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endParaRPr lang="nl-N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B-8CB1-4B90-B19F-9D40D644DF04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endParaRPr lang="nl-N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C-8CB1-4B90-B19F-9D40D644DF04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endParaRPr lang="nl-N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D-8CB1-4B90-B19F-9D40D644DF04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endParaRPr lang="nl-N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E-8CB1-4B90-B19F-9D40D644DF04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endParaRPr lang="nl-N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F-8CB1-4B90-B19F-9D40D644DF04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endParaRPr lang="nl-N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0-8CB1-4B90-B19F-9D40D644DF04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endParaRPr lang="nl-N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1-8CB1-4B90-B19F-9D40D644DF04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endParaRPr lang="nl-N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2-8CB1-4B90-B19F-9D40D644DF04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endParaRPr lang="nl-N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3-8CB1-4B90-B19F-9D40D644DF04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endParaRPr lang="nl-N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4-8CB1-4B90-B19F-9D40D644DF04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endParaRPr lang="nl-N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5-8CB1-4B90-B19F-9D40D644DF04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endParaRPr lang="nl-N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6-8CB1-4B90-B19F-9D40D644DF04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endParaRPr lang="nl-N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7-8CB1-4B90-B19F-9D40D644DF04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endParaRPr lang="nl-N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8-8CB1-4B90-B19F-9D40D644DF04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endParaRPr lang="nl-N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9-8CB1-4B90-B19F-9D40D644DF04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endParaRPr lang="nl-N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A-8CB1-4B90-B19F-9D40D644DF04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endParaRPr lang="nl-N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B-8CB1-4B90-B19F-9D40D644DF04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endParaRPr lang="nl-N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C-8CB1-4B90-B19F-9D40D644DF04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endParaRPr lang="nl-N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D-8CB1-4B90-B19F-9D40D644DF04}"/>
                </c:ext>
              </c:extLst>
            </c:dLbl>
            <c:dLbl>
              <c:idx val="29"/>
              <c:tx>
                <c:rich>
                  <a:bodyPr/>
                  <a:lstStyle/>
                  <a:p>
                    <a:endParaRPr lang="nl-N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E-8CB1-4B90-B19F-9D40D644DF04}"/>
                </c:ext>
              </c:extLst>
            </c:dLbl>
            <c:dLbl>
              <c:idx val="30"/>
              <c:tx>
                <c:rich>
                  <a:bodyPr/>
                  <a:lstStyle/>
                  <a:p>
                    <a:endParaRPr lang="nl-N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F-8CB1-4B90-B19F-9D40D644DF04}"/>
                </c:ext>
              </c:extLst>
            </c:dLbl>
            <c:dLbl>
              <c:idx val="31"/>
              <c:tx>
                <c:rich>
                  <a:bodyPr/>
                  <a:lstStyle/>
                  <a:p>
                    <a:endParaRPr lang="nl-N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0-8CB1-4B90-B19F-9D40D644DF04}"/>
                </c:ext>
              </c:extLst>
            </c:dLbl>
            <c:dLbl>
              <c:idx val="32"/>
              <c:tx>
                <c:rich>
                  <a:bodyPr/>
                  <a:lstStyle/>
                  <a:p>
                    <a:endParaRPr lang="nl-N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1-8CB1-4B90-B19F-9D40D644DF04}"/>
                </c:ext>
              </c:extLst>
            </c:dLbl>
            <c:dLbl>
              <c:idx val="33"/>
              <c:tx>
                <c:rich>
                  <a:bodyPr/>
                  <a:lstStyle/>
                  <a:p>
                    <a:endParaRPr lang="nl-N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2-8CB1-4B90-B19F-9D40D644DF04}"/>
                </c:ext>
              </c:extLst>
            </c:dLbl>
            <c:dLbl>
              <c:idx val="34"/>
              <c:tx>
                <c:rich>
                  <a:bodyPr/>
                  <a:lstStyle/>
                  <a:p>
                    <a:endParaRPr lang="nl-N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3-8CB1-4B90-B19F-9D40D644DF04}"/>
                </c:ext>
              </c:extLst>
            </c:dLbl>
            <c:dLbl>
              <c:idx val="35"/>
              <c:tx>
                <c:rich>
                  <a:bodyPr/>
                  <a:lstStyle/>
                  <a:p>
                    <a:endParaRPr lang="nl-N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4-8CB1-4B90-B19F-9D40D644DF04}"/>
                </c:ext>
              </c:extLst>
            </c:dLbl>
            <c:dLbl>
              <c:idx val="36"/>
              <c:tx>
                <c:rich>
                  <a:bodyPr/>
                  <a:lstStyle/>
                  <a:p>
                    <a:endParaRPr lang="nl-N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5-8CB1-4B90-B19F-9D40D644DF0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l-NL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Blad1!$R$52:$R$88</c:f>
              <c:numCache>
                <c:formatCode>0.00</c:formatCode>
                <c:ptCount val="37"/>
                <c:pt idx="0">
                  <c:v>-4044.1303807599143</c:v>
                </c:pt>
                <c:pt idx="1">
                  <c:v>-4050.7253364376497</c:v>
                </c:pt>
                <c:pt idx="2">
                  <c:v>-4070.4600148346385</c:v>
                </c:pt>
                <c:pt idx="3">
                  <c:v>-4103.1842319855423</c:v>
                </c:pt>
                <c:pt idx="4">
                  <c:v>-4125.7193592737476</c:v>
                </c:pt>
                <c:pt idx="5">
                  <c:v>-4125.7193592737476</c:v>
                </c:pt>
                <c:pt idx="6">
                  <c:v>-4125.7193592737476</c:v>
                </c:pt>
                <c:pt idx="7">
                  <c:v>-4125.7193592737476</c:v>
                </c:pt>
                <c:pt idx="8">
                  <c:v>-4125.7193592737476</c:v>
                </c:pt>
                <c:pt idx="9">
                  <c:v>-4125.7193592737476</c:v>
                </c:pt>
                <c:pt idx="10">
                  <c:v>-4125.7193592737476</c:v>
                </c:pt>
                <c:pt idx="11">
                  <c:v>-4125.7193592737476</c:v>
                </c:pt>
                <c:pt idx="12">
                  <c:v>-4125.7193592737476</c:v>
                </c:pt>
                <c:pt idx="13">
                  <c:v>-4125.7193592737476</c:v>
                </c:pt>
                <c:pt idx="14">
                  <c:v>-4125.7193592737476</c:v>
                </c:pt>
                <c:pt idx="15">
                  <c:v>-4125.7193592737476</c:v>
                </c:pt>
                <c:pt idx="16">
                  <c:v>-4125.7193592737476</c:v>
                </c:pt>
                <c:pt idx="17">
                  <c:v>-4125.7193592737476</c:v>
                </c:pt>
                <c:pt idx="18">
                  <c:v>-4125.7193592737476</c:v>
                </c:pt>
                <c:pt idx="19">
                  <c:v>-4125.7193592737476</c:v>
                </c:pt>
                <c:pt idx="20">
                  <c:v>-4125.7193592737476</c:v>
                </c:pt>
                <c:pt idx="21">
                  <c:v>-4125.7193592737476</c:v>
                </c:pt>
                <c:pt idx="22">
                  <c:v>-4125.7193592737476</c:v>
                </c:pt>
                <c:pt idx="23">
                  <c:v>-4125.7193592737476</c:v>
                </c:pt>
                <c:pt idx="24">
                  <c:v>-4125.7193592737476</c:v>
                </c:pt>
                <c:pt idx="25">
                  <c:v>-4125.7193592737476</c:v>
                </c:pt>
                <c:pt idx="26">
                  <c:v>-4125.7193592737476</c:v>
                </c:pt>
                <c:pt idx="27">
                  <c:v>-4125.7193592737476</c:v>
                </c:pt>
                <c:pt idx="28">
                  <c:v>-4125.7193592737476</c:v>
                </c:pt>
                <c:pt idx="29">
                  <c:v>-4125.7193592737476</c:v>
                </c:pt>
                <c:pt idx="30">
                  <c:v>-4125.7193592737476</c:v>
                </c:pt>
                <c:pt idx="31">
                  <c:v>-4125.7193592737476</c:v>
                </c:pt>
                <c:pt idx="32">
                  <c:v>-4125.7193592737476</c:v>
                </c:pt>
                <c:pt idx="33">
                  <c:v>-4125.7193592737476</c:v>
                </c:pt>
                <c:pt idx="34">
                  <c:v>-4125.7193592737476</c:v>
                </c:pt>
                <c:pt idx="35">
                  <c:v>-4125.7193592737476</c:v>
                </c:pt>
                <c:pt idx="36">
                  <c:v>-4125.7193592737476</c:v>
                </c:pt>
              </c:numCache>
            </c:numRef>
          </c:xVal>
          <c:yVal>
            <c:numRef>
              <c:f>Blad1!$O$52:$O$88</c:f>
              <c:numCache>
                <c:formatCode>0.0</c:formatCode>
                <c:ptCount val="37"/>
                <c:pt idx="0">
                  <c:v>0</c:v>
                </c:pt>
                <c:pt idx="1">
                  <c:v>151.05377926601662</c:v>
                </c:pt>
                <c:pt idx="2">
                  <c:v>300.95801582891426</c:v>
                </c:pt>
                <c:pt idx="3">
                  <c:v>448.57191518394893</c:v>
                </c:pt>
                <c:pt idx="4">
                  <c:v>525.51219512195098</c:v>
                </c:pt>
                <c:pt idx="5">
                  <c:v>525.51219512195098</c:v>
                </c:pt>
                <c:pt idx="6">
                  <c:v>525.51219512195098</c:v>
                </c:pt>
                <c:pt idx="7">
                  <c:v>525.51219512195098</c:v>
                </c:pt>
                <c:pt idx="8">
                  <c:v>525.51219512195098</c:v>
                </c:pt>
                <c:pt idx="9">
                  <c:v>525.51219512195098</c:v>
                </c:pt>
                <c:pt idx="10">
                  <c:v>525.51219512195098</c:v>
                </c:pt>
                <c:pt idx="11">
                  <c:v>525.51219512195098</c:v>
                </c:pt>
                <c:pt idx="12">
                  <c:v>525.51219512195098</c:v>
                </c:pt>
                <c:pt idx="13">
                  <c:v>525.51219512195098</c:v>
                </c:pt>
                <c:pt idx="14">
                  <c:v>525.51219512195098</c:v>
                </c:pt>
                <c:pt idx="15">
                  <c:v>525.51219512195098</c:v>
                </c:pt>
                <c:pt idx="16">
                  <c:v>525.51219512195098</c:v>
                </c:pt>
                <c:pt idx="17">
                  <c:v>525.51219512195098</c:v>
                </c:pt>
                <c:pt idx="18">
                  <c:v>525.51219512195098</c:v>
                </c:pt>
                <c:pt idx="19">
                  <c:v>525.51219512195098</c:v>
                </c:pt>
                <c:pt idx="20">
                  <c:v>525.51219512195098</c:v>
                </c:pt>
                <c:pt idx="21">
                  <c:v>525.51219512195098</c:v>
                </c:pt>
                <c:pt idx="22">
                  <c:v>525.51219512195098</c:v>
                </c:pt>
                <c:pt idx="23">
                  <c:v>525.51219512195098</c:v>
                </c:pt>
                <c:pt idx="24">
                  <c:v>525.51219512195098</c:v>
                </c:pt>
                <c:pt idx="25">
                  <c:v>525.51219512195098</c:v>
                </c:pt>
                <c:pt idx="26">
                  <c:v>525.51219512195098</c:v>
                </c:pt>
                <c:pt idx="27">
                  <c:v>525.51219512195098</c:v>
                </c:pt>
                <c:pt idx="28">
                  <c:v>525.51219512195098</c:v>
                </c:pt>
                <c:pt idx="29">
                  <c:v>525.51219512195098</c:v>
                </c:pt>
                <c:pt idx="30">
                  <c:v>525.51219512195098</c:v>
                </c:pt>
                <c:pt idx="31">
                  <c:v>525.51219512195098</c:v>
                </c:pt>
                <c:pt idx="32">
                  <c:v>525.51219512195098</c:v>
                </c:pt>
                <c:pt idx="33">
                  <c:v>525.51219512195098</c:v>
                </c:pt>
                <c:pt idx="34">
                  <c:v>525.51219512195098</c:v>
                </c:pt>
                <c:pt idx="35">
                  <c:v>525.51219512195098</c:v>
                </c:pt>
                <c:pt idx="36">
                  <c:v>525.51219512195098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Blad1!$C$40</c15:f>
                <c15:dlblRangeCache>
                  <c:ptCount val="1"/>
                  <c:pt idx="0">
                    <c:v>δ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CB1-4B90-B19F-9D40D644DF04}"/>
            </c:ext>
          </c:extLst>
        </c:ser>
        <c:ser>
          <c:idx val="5"/>
          <c:order val="5"/>
          <c:tx>
            <c:v>Pg</c:v>
          </c:tx>
          <c:spPr>
            <a:ln w="12700" cap="rnd">
              <a:solidFill>
                <a:srgbClr val="C00000"/>
              </a:solidFill>
              <a:prstDash val="dash"/>
              <a:round/>
            </a:ln>
            <a:effectLst/>
          </c:spPr>
          <c:marker>
            <c:symbol val="none"/>
          </c:marker>
          <c:dPt>
            <c:idx val="1"/>
            <c:bubble3D val="0"/>
            <c:spPr>
              <a:ln w="28575" cap="rnd">
                <a:solidFill>
                  <a:srgbClr val="C00000"/>
                </a:solidFill>
                <a:prstDash val="sysDot"/>
                <a:round/>
                <a:headEnd type="none" w="lg" len="lg"/>
                <a:tailEnd type="none" w="lg" len="lg"/>
              </a:ln>
              <a:effectLst/>
            </c:spPr>
            <c:extLst>
              <c:ext xmlns:c16="http://schemas.microsoft.com/office/drawing/2014/chart" uri="{C3380CC4-5D6E-409C-BE32-E72D297353CC}">
                <c16:uniqueId val="{0000000C-8CB1-4B90-B19F-9D40D644DF04}"/>
              </c:ext>
            </c:extLst>
          </c:dPt>
          <c:dLbls>
            <c:dLbl>
              <c:idx val="0"/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115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AE7A191C-BADC-414D-80A4-5A47FB321C37}" type="SERIESNAME">
                      <a:rPr lang="en-US" sz="2800" b="1" baseline="0">
                        <a:solidFill>
                          <a:srgbClr val="C00000"/>
                        </a:solidFill>
                      </a:rPr>
                      <a:pPr>
                        <a:defRPr sz="115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t>[REEKSNAAM]</a:t>
                    </a:fld>
                    <a:endParaRPr lang="nl-NL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t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2168349925099111E-2"/>
                      <c:h val="0.12559446439086813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E-8CB1-4B90-B19F-9D40D644DF0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CB1-4B90-B19F-9D40D644DF0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l-NL"/>
              </a:p>
            </c:txPr>
            <c:dLblPos val="t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(Blad1!$C$38,Blad1!$O$27)</c:f>
              <c:numCache>
                <c:formatCode>General</c:formatCode>
                <c:ptCount val="2"/>
                <c:pt idx="0">
                  <c:v>0</c:v>
                </c:pt>
                <c:pt idx="1">
                  <c:v>3999.6893875647511</c:v>
                </c:pt>
              </c:numCache>
            </c:numRef>
          </c:xVal>
          <c:yVal>
            <c:numRef>
              <c:f>(Blad1!$Q$27,Blad1!$Q$28)</c:f>
              <c:numCache>
                <c:formatCode>0.00</c:formatCode>
                <c:ptCount val="2"/>
                <c:pt idx="0">
                  <c:v>3110.8695236614758</c:v>
                </c:pt>
                <c:pt idx="1">
                  <c:v>3110.8695236614785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8CB1-4B90-B19F-9D40D644DF04}"/>
            </c:ext>
          </c:extLst>
        </c:ser>
        <c:ser>
          <c:idx val="6"/>
          <c:order val="6"/>
          <c:tx>
            <c:v>Qx</c:v>
          </c:tx>
          <c:spPr>
            <a:ln w="19050" cap="rnd">
              <a:solidFill>
                <a:srgbClr val="00B0F0"/>
              </a:solidFill>
              <a:round/>
              <a:tailEnd w="lg" len="lg"/>
            </a:ln>
            <a:effectLst/>
          </c:spPr>
          <c:marker>
            <c:symbol val="none"/>
          </c:marker>
          <c:dPt>
            <c:idx val="0"/>
            <c:bubble3D val="0"/>
            <c:spPr>
              <a:ln w="50800" cap="rnd">
                <a:solidFill>
                  <a:srgbClr val="00B0F0"/>
                </a:solidFill>
                <a:round/>
                <a:headEnd type="oval" w="lg" len="lg"/>
                <a:tailEnd type="stealth" w="lg" len="lg"/>
              </a:ln>
              <a:effectLst/>
            </c:spPr>
            <c:extLst>
              <c:ext xmlns:c16="http://schemas.microsoft.com/office/drawing/2014/chart" uri="{C3380CC4-5D6E-409C-BE32-E72D297353CC}">
                <c16:uniqueId val="{0000000F-8CB1-4B90-B19F-9D40D644DF04}"/>
              </c:ext>
            </c:extLst>
          </c:dPt>
          <c:dPt>
            <c:idx val="1"/>
            <c:bubble3D val="0"/>
            <c:spPr>
              <a:ln w="12700" cap="rnd">
                <a:solidFill>
                  <a:srgbClr val="C00000"/>
                </a:solidFill>
                <a:prstDash val="dash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8CB1-4B90-B19F-9D40D644DF04}"/>
              </c:ext>
            </c:extLst>
          </c:dPt>
          <c:dLbls>
            <c:dLbl>
              <c:idx val="0"/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2400" b="1">
                        <a:solidFill>
                          <a:srgbClr val="C00000"/>
                        </a:solidFill>
                      </a:rPr>
                      <a:t>Qg</a:t>
                    </a:r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b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layout>
                    <c:manualLayout>
                      <c:w val="6.8818012320807656E-2"/>
                      <c:h val="7.455978337308021E-2"/>
                    </c:manualLayout>
                  </c15:layout>
                  <c15:showDataLabelsRange val="0"/>
                </c:ext>
                <c:ext xmlns:c16="http://schemas.microsoft.com/office/drawing/2014/chart" uri="{C3380CC4-5D6E-409C-BE32-E72D297353CC}">
                  <c16:uniqueId val="{0000000F-8CB1-4B90-B19F-9D40D644DF0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8.1842557327179835E-2"/>
                      <c:h val="9.6507632791405382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B-8CB1-4B90-B19F-9D40D644DF0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l-NL"/>
              </a:p>
            </c:txPr>
            <c:dLblPos val="b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(Blad1!$O$27,Blad1!$O$27)</c:f>
              <c:numCache>
                <c:formatCode>General</c:formatCode>
                <c:ptCount val="2"/>
                <c:pt idx="0">
                  <c:v>3999.6893875647511</c:v>
                </c:pt>
                <c:pt idx="1">
                  <c:v>3999.6893875647511</c:v>
                </c:pt>
              </c:numCache>
            </c:numRef>
          </c:xVal>
          <c:yVal>
            <c:numRef>
              <c:f>(Blad1!$C$38,Blad1!$Q$27)</c:f>
              <c:numCache>
                <c:formatCode>0.00</c:formatCode>
                <c:ptCount val="2"/>
                <c:pt idx="0" formatCode="General">
                  <c:v>0</c:v>
                </c:pt>
                <c:pt idx="1">
                  <c:v>3110.8695236614758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8CB1-4B90-B19F-9D40D644DF04}"/>
            </c:ext>
          </c:extLst>
        </c:ser>
        <c:ser>
          <c:idx val="7"/>
          <c:order val="7"/>
          <c:tx>
            <c:v>I2min</c:v>
          </c:tx>
          <c:spPr>
            <a:ln w="19050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114-4185-B39F-7AD21B4323BA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114-4185-B39F-7AD21B4323BA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114-4185-B39F-7AD21B4323BA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114-4185-B39F-7AD21B4323BA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114-4185-B39F-7AD21B4323BA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2114-4185-B39F-7AD21B4323BA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114-4185-B39F-7AD21B4323BA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2114-4185-B39F-7AD21B4323BA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2114-4185-B39F-7AD21B4323BA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2114-4185-B39F-7AD21B4323BA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2114-4185-B39F-7AD21B4323BA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2114-4185-B39F-7AD21B4323BA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2114-4185-B39F-7AD21B4323BA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2114-4185-B39F-7AD21B4323BA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2114-4185-B39F-7AD21B4323BA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2114-4185-B39F-7AD21B4323BA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2114-4185-B39F-7AD21B4323BA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2114-4185-B39F-7AD21B4323BA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2114-4185-B39F-7AD21B4323BA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2114-4185-B39F-7AD21B4323BA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2114-4185-B39F-7AD21B4323BA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2114-4185-B39F-7AD21B4323BA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2114-4185-B39F-7AD21B4323BA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2114-4185-B39F-7AD21B4323BA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2114-4185-B39F-7AD21B4323BA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2114-4185-B39F-7AD21B4323BA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2114-4185-B39F-7AD21B4323BA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2114-4185-B39F-7AD21B4323BA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2114-4185-B39F-7AD21B4323BA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2114-4185-B39F-7AD21B4323BA}"/>
                </c:ext>
              </c:extLst>
            </c:dLbl>
            <c:dLbl>
              <c:idx val="30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0.11767914263781858"/>
                      <c:h val="9.002132576861585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27-2114-4185-B39F-7AD21B4323BA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114-4185-B39F-7AD21B4323BA}"/>
                </c:ext>
              </c:extLst>
            </c:dLbl>
            <c:dLbl>
              <c:idx val="32"/>
              <c:layout>
                <c:manualLayout>
                  <c:x val="-8.3021316947752222E-2"/>
                  <c:y val="-2.6554936536338079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2400" b="1">
                        <a:solidFill>
                          <a:srgbClr val="FFC000"/>
                        </a:solidFill>
                      </a:rPr>
                      <a:t>I</a:t>
                    </a:r>
                    <a:r>
                      <a:rPr lang="en-US" sz="1600" b="1">
                        <a:solidFill>
                          <a:srgbClr val="FFC000"/>
                        </a:solidFill>
                      </a:rPr>
                      <a:t>2min</a:t>
                    </a:r>
                    <a:endParaRPr lang="en-US" sz="2400" b="1">
                      <a:solidFill>
                        <a:srgbClr val="FFC000"/>
                      </a:solidFill>
                    </a:endParaRPr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2781581796453183E-2"/>
                      <c:h val="0.1177308247630556"/>
                    </c:manualLayout>
                  </c15:layout>
                  <c15:showDataLabelsRange val="0"/>
                </c:ext>
                <c:ext xmlns:c16="http://schemas.microsoft.com/office/drawing/2014/chart" uri="{C3380CC4-5D6E-409C-BE32-E72D297353CC}">
                  <c16:uniqueId val="{00000028-2114-4185-B39F-7AD21B4323BA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9-2114-4185-B39F-7AD21B4323BA}"/>
                </c:ext>
              </c:extLst>
            </c:dLbl>
            <c:dLbl>
              <c:idx val="3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A-2114-4185-B39F-7AD21B4323BA}"/>
                </c:ext>
              </c:extLst>
            </c:dLbl>
            <c:dLbl>
              <c:idx val="3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B-2114-4185-B39F-7AD21B4323BA}"/>
                </c:ext>
              </c:extLst>
            </c:dLbl>
            <c:dLbl>
              <c:idx val="3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C-2114-4185-B39F-7AD21B4323B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l-NL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Blad1!$T$52:$T$88</c:f>
              <c:numCache>
                <c:formatCode>General</c:formatCode>
                <c:ptCount val="37"/>
                <c:pt idx="0">
                  <c:v>-4877.3291153713062</c:v>
                </c:pt>
                <c:pt idx="1">
                  <c:v>-4880.7536852093936</c:v>
                </c:pt>
                <c:pt idx="2">
                  <c:v>-4891.0013332157096</c:v>
                </c:pt>
                <c:pt idx="3">
                  <c:v>-4907.9940731985353</c:v>
                </c:pt>
                <c:pt idx="4">
                  <c:v>-4931.6025877693992</c:v>
                </c:pt>
                <c:pt idx="5">
                  <c:v>-4961.6472124684769</c:v>
                </c:pt>
                <c:pt idx="6">
                  <c:v>-4997.8993030390093</c:v>
                </c:pt>
                <c:pt idx="7">
                  <c:v>-5040.0829754455854</c:v>
                </c:pt>
                <c:pt idx="8">
                  <c:v>-5087.8772053944631</c:v>
                </c:pt>
                <c:pt idx="9">
                  <c:v>-5140.918271378272</c:v>
                </c:pt>
                <c:pt idx="10">
                  <c:v>-5198.8025226531254</c:v>
                </c:pt>
                <c:pt idx="11">
                  <c:v>-5261.0894510834332</c:v>
                </c:pt>
                <c:pt idx="12">
                  <c:v>-5327.305043477174</c:v>
                </c:pt>
                <c:pt idx="13">
                  <c:v>-5396.9453888998514</c:v>
                </c:pt>
                <c:pt idx="14">
                  <c:v>-5469.4805135149154</c:v>
                </c:pt>
                <c:pt idx="15">
                  <c:v>-5544.3584137669004</c:v>
                </c:pt>
                <c:pt idx="16">
                  <c:v>-5621.0092572141584</c:v>
                </c:pt>
                <c:pt idx="17">
                  <c:v>-5698.8497190421695</c:v>
                </c:pt>
                <c:pt idx="18">
                  <c:v>-5777.2874212559145</c:v>
                </c:pt>
                <c:pt idx="19">
                  <c:v>-5855.7254407683477</c:v>
                </c:pt>
                <c:pt idx="20">
                  <c:v>-5933.5668520777335</c:v>
                </c:pt>
                <c:pt idx="21">
                  <c:v>-6010.2192699633506</c:v>
                </c:pt>
                <c:pt idx="22">
                  <c:v>-6085.0993576289602</c:v>
                </c:pt>
                <c:pt idx="23">
                  <c:v>-6157.6372659863546</c:v>
                </c:pt>
                <c:pt idx="24">
                  <c:v>-6227.2809702953609</c:v>
                </c:pt>
                <c:pt idx="25">
                  <c:v>-6293.5004711577785</c:v>
                </c:pt>
                <c:pt idx="26">
                  <c:v>-6355.791827895061</c:v>
                </c:pt>
                <c:pt idx="27">
                  <c:v>-6413.6809936150821</c:v>
                </c:pt>
                <c:pt idx="28">
                  <c:v>-6466.7274227825619</c:v>
                </c:pt>
                <c:pt idx="29">
                  <c:v>-6514.5274238389547</c:v>
                </c:pt>
                <c:pt idx="30">
                  <c:v>-6556.717231357864</c:v>
                </c:pt>
                <c:pt idx="31">
                  <c:v>-6592.9757743563923</c:v>
                </c:pt>
                <c:pt idx="32">
                  <c:v>-6623.0271196951489</c:v>
                </c:pt>
                <c:pt idx="33">
                  <c:v>-6646.6425719722647</c:v>
                </c:pt>
                <c:pt idx="34">
                  <c:v>-6663.6424139308938</c:v>
                </c:pt>
                <c:pt idx="35">
                  <c:v>-6673.8972741354264</c:v>
                </c:pt>
                <c:pt idx="36">
                  <c:v>-6677.3291115081965</c:v>
                </c:pt>
              </c:numCache>
            </c:numRef>
          </c:xVal>
          <c:yVal>
            <c:numRef>
              <c:f>Blad1!$U$52:$U$88</c:f>
              <c:numCache>
                <c:formatCode>General</c:formatCode>
                <c:ptCount val="37"/>
                <c:pt idx="0">
                  <c:v>0</c:v>
                </c:pt>
                <c:pt idx="1">
                  <c:v>78.437860947259793</c:v>
                </c:pt>
                <c:pt idx="2">
                  <c:v>156.27879759948826</c:v>
                </c:pt>
                <c:pt idx="3">
                  <c:v>232.93042834817942</c:v>
                </c:pt>
                <c:pt idx="4">
                  <c:v>307.80942238732837</c:v>
                </c:pt>
                <c:pt idx="5">
                  <c:v>380.34593895139557</c:v>
                </c:pt>
                <c:pt idx="6">
                  <c:v>449.98796389196929</c:v>
                </c:pt>
                <c:pt idx="7">
                  <c:v>516.20551059110562</c:v>
                </c:pt>
                <c:pt idx="8">
                  <c:v>578.49465324174207</c:v>
                </c:pt>
                <c:pt idx="9">
                  <c:v>636.38136180129732</c:v>
                </c:pt>
                <c:pt idx="10">
                  <c:v>689.42510943386185</c:v>
                </c:pt>
                <c:pt idx="11">
                  <c:v>737.22222498778751</c:v>
                </c:pt>
                <c:pt idx="12">
                  <c:v>779.40896499580026</c:v>
                </c:pt>
                <c:pt idx="13">
                  <c:v>815.66428181923573</c:v>
                </c:pt>
                <c:pt idx="14">
                  <c:v>845.71226687039677</c:v>
                </c:pt>
                <c:pt idx="15">
                  <c:v>869.32425031972446</c:v>
                </c:pt>
                <c:pt idx="16">
                  <c:v>886.32054130868983</c:v>
                </c:pt>
                <c:pt idx="17">
                  <c:v>896.57179542511494</c:v>
                </c:pt>
                <c:pt idx="18">
                  <c:v>899.9999990342227</c:v>
                </c:pt>
                <c:pt idx="19">
                  <c:v>896.57906297450484</c:v>
                </c:pt>
                <c:pt idx="20">
                  <c:v>886.33502110029087</c:v>
                </c:pt>
                <c:pt idx="21">
                  <c:v>869.34583216007525</c:v>
                </c:pt>
                <c:pt idx="22">
                  <c:v>845.74078651834293</c:v>
                </c:pt>
                <c:pt idx="23">
                  <c:v>815.69952223583005</c:v>
                </c:pt>
                <c:pt idx="24">
                  <c:v>779.45065799600343</c:v>
                </c:pt>
                <c:pt idx="25">
                  <c:v>737.27005328139762</c:v>
                </c:pt>
                <c:pt idx="26">
                  <c:v>689.47870904014155</c:v>
                </c:pt>
                <c:pt idx="27">
                  <c:v>636.44032481892452</c:v>
                </c:pt>
                <c:pt idx="28">
                  <c:v>578.55853095300188</c:v>
                </c:pt>
                <c:pt idx="29">
                  <c:v>516.27381687670129</c:v>
                </c:pt>
                <c:pt idx="30">
                  <c:v>450.06017893046715</c:v>
                </c:pt>
                <c:pt idx="31">
                  <c:v>380.42151317514504</c:v>
                </c:pt>
                <c:pt idx="32">
                  <c:v>307.887780664758</c:v>
                </c:pt>
                <c:pt idx="33">
                  <c:v>233.01097436063665</c:v>
                </c:pt>
                <c:pt idx="34">
                  <c:v>156.36091837931832</c:v>
                </c:pt>
                <c:pt idx="35">
                  <c:v>78.520931542583341</c:v>
                </c:pt>
                <c:pt idx="36">
                  <c:v>8.3388230694441262E-2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2114-4185-B39F-7AD21B4323BA}"/>
            </c:ext>
          </c:extLst>
        </c:ser>
        <c:ser>
          <c:idx val="8"/>
          <c:order val="8"/>
          <c:tx>
            <c:v>phi</c:v>
          </c:tx>
          <c:spPr>
            <a:ln w="19050" cap="rnd">
              <a:solidFill>
                <a:srgbClr val="00B0F0"/>
              </a:solidFill>
              <a:round/>
            </a:ln>
            <a:effectLst/>
          </c:spPr>
          <c:marker>
            <c:symbol val="none"/>
          </c:marker>
          <c:dLbls>
            <c:dLbl>
              <c:idx val="1"/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l-GR" sz="2000" b="1">
                        <a:solidFill>
                          <a:srgbClr val="00B0F0"/>
                        </a:solidFill>
                        <a:latin typeface="Calibri" panose="020F0502020204030204" pitchFamily="34" charset="0"/>
                        <a:cs typeface="Calibri" panose="020F0502020204030204" pitchFamily="34" charset="0"/>
                      </a:rPr>
                      <a:t>ϕ</a:t>
                    </a:r>
                    <a:endParaRPr lang="el-GR" sz="2000" b="1">
                      <a:solidFill>
                        <a:srgbClr val="00B0F0"/>
                      </a:solidFill>
                    </a:endParaRPr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6.7127059133141639E-2"/>
                      <c:h val="9.535063501223244E-2"/>
                    </c:manualLayout>
                  </c15:layout>
                  <c15:showDataLabelsRange val="0"/>
                </c:ext>
                <c:ext xmlns:c16="http://schemas.microsoft.com/office/drawing/2014/chart" uri="{C3380CC4-5D6E-409C-BE32-E72D297353CC}">
                  <c16:uniqueId val="{00000008-B5D5-43D1-99A2-89861461CBD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l-NL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Blad1!$Z$52:$Z$88</c:f>
              <c:numCache>
                <c:formatCode>0.00</c:formatCode>
                <c:ptCount val="37"/>
                <c:pt idx="0">
                  <c:v>1199.716711153045</c:v>
                </c:pt>
                <c:pt idx="1">
                  <c:v>1113.7937480181752</c:v>
                </c:pt>
                <c:pt idx="2">
                  <c:v>1019.3946416048312</c:v>
                </c:pt>
                <c:pt idx="3">
                  <c:v>917.23778376315795</c:v>
                </c:pt>
                <c:pt idx="4">
                  <c:v>808.10060403564148</c:v>
                </c:pt>
                <c:pt idx="5">
                  <c:v>692.81365329763412</c:v>
                </c:pt>
                <c:pt idx="6">
                  <c:v>572.25428313629743</c:v>
                </c:pt>
                <c:pt idx="7">
                  <c:v>447.33996906886068</c:v>
                </c:pt>
                <c:pt idx="8">
                  <c:v>319.02132841154793</c:v>
                </c:pt>
                <c:pt idx="9">
                  <c:v>188.27488593426864</c:v>
                </c:pt>
                <c:pt idx="10">
                  <c:v>56.095642355567371</c:v>
                </c:pt>
                <c:pt idx="11">
                  <c:v>-0.30960686500328394</c:v>
                </c:pt>
                <c:pt idx="12">
                  <c:v>-0.30960686500328394</c:v>
                </c:pt>
                <c:pt idx="13">
                  <c:v>-0.30960686500328394</c:v>
                </c:pt>
                <c:pt idx="14">
                  <c:v>-0.30960686500328394</c:v>
                </c:pt>
                <c:pt idx="15">
                  <c:v>-0.30960686500328394</c:v>
                </c:pt>
                <c:pt idx="16">
                  <c:v>-0.30960686500328394</c:v>
                </c:pt>
                <c:pt idx="17">
                  <c:v>-0.30960686500328394</c:v>
                </c:pt>
                <c:pt idx="18">
                  <c:v>-0.30960686500328394</c:v>
                </c:pt>
                <c:pt idx="19">
                  <c:v>-0.30960686500328394</c:v>
                </c:pt>
                <c:pt idx="20">
                  <c:v>-0.30960686500328394</c:v>
                </c:pt>
                <c:pt idx="21">
                  <c:v>-0.30960686500328394</c:v>
                </c:pt>
                <c:pt idx="22">
                  <c:v>-0.30960686500328394</c:v>
                </c:pt>
                <c:pt idx="23">
                  <c:v>-0.30960686500328394</c:v>
                </c:pt>
                <c:pt idx="24">
                  <c:v>-0.30960686500328394</c:v>
                </c:pt>
                <c:pt idx="25">
                  <c:v>-0.30960686500328394</c:v>
                </c:pt>
                <c:pt idx="26">
                  <c:v>-0.30960686500328394</c:v>
                </c:pt>
                <c:pt idx="27">
                  <c:v>-0.30960686500328394</c:v>
                </c:pt>
                <c:pt idx="28">
                  <c:v>-0.30960686500328394</c:v>
                </c:pt>
                <c:pt idx="29">
                  <c:v>-0.30960686500328394</c:v>
                </c:pt>
                <c:pt idx="30">
                  <c:v>-0.30960686500328394</c:v>
                </c:pt>
                <c:pt idx="31">
                  <c:v>-0.30960686500328394</c:v>
                </c:pt>
                <c:pt idx="32">
                  <c:v>-0.30960686500328394</c:v>
                </c:pt>
                <c:pt idx="33">
                  <c:v>-0.30960686500328394</c:v>
                </c:pt>
                <c:pt idx="34">
                  <c:v>-0.30960686500328394</c:v>
                </c:pt>
                <c:pt idx="35">
                  <c:v>-0.30960686500328394</c:v>
                </c:pt>
                <c:pt idx="36">
                  <c:v>-0.30960686500328394</c:v>
                </c:pt>
              </c:numCache>
            </c:numRef>
          </c:xVal>
          <c:yVal>
            <c:numRef>
              <c:f>Blad1!$AA$52:$AA$88</c:f>
              <c:numCache>
                <c:formatCode>0.00</c:formatCode>
                <c:ptCount val="37"/>
                <c:pt idx="0">
                  <c:v>933.505226606723</c:v>
                </c:pt>
                <c:pt idx="1">
                  <c:v>1034.5122918542697</c:v>
                </c:pt>
                <c:pt idx="2">
                  <c:v>1127.6465580088939</c:v>
                </c:pt>
                <c:pt idx="3">
                  <c:v>1212.1992588511175</c:v>
                </c:pt>
                <c:pt idx="4">
                  <c:v>1287.5269352053103</c:v>
                </c:pt>
                <c:pt idx="5">
                  <c:v>1353.0563317638826</c:v>
                </c:pt>
                <c:pt idx="6">
                  <c:v>1408.2887596491389</c:v>
                </c:pt>
                <c:pt idx="7">
                  <c:v>1452.8038915130351</c:v>
                </c:pt>
                <c:pt idx="8">
                  <c:v>1486.2629602935274</c:v>
                </c:pt>
                <c:pt idx="9">
                  <c:v>1508.4113372844909</c:v>
                </c:pt>
                <c:pt idx="10">
                  <c:v>1519.0804698996903</c:v>
                </c:pt>
                <c:pt idx="11">
                  <c:v>1520.1158177144059</c:v>
                </c:pt>
                <c:pt idx="12">
                  <c:v>1520.1158177144059</c:v>
                </c:pt>
                <c:pt idx="13">
                  <c:v>1520.1158177144059</c:v>
                </c:pt>
                <c:pt idx="14">
                  <c:v>1520.1158177144059</c:v>
                </c:pt>
                <c:pt idx="15">
                  <c:v>1520.1158177144059</c:v>
                </c:pt>
                <c:pt idx="16">
                  <c:v>1520.1158177144059</c:v>
                </c:pt>
                <c:pt idx="17">
                  <c:v>1520.1158177144059</c:v>
                </c:pt>
                <c:pt idx="18">
                  <c:v>1520.1158177144059</c:v>
                </c:pt>
                <c:pt idx="19">
                  <c:v>1520.1158177144059</c:v>
                </c:pt>
                <c:pt idx="20">
                  <c:v>1520.1158177144059</c:v>
                </c:pt>
                <c:pt idx="21">
                  <c:v>1520.1158177144059</c:v>
                </c:pt>
                <c:pt idx="22">
                  <c:v>1520.1158177144059</c:v>
                </c:pt>
                <c:pt idx="23">
                  <c:v>1520.1158177144059</c:v>
                </c:pt>
                <c:pt idx="24">
                  <c:v>1520.1158177144059</c:v>
                </c:pt>
                <c:pt idx="25">
                  <c:v>1520.1158177144059</c:v>
                </c:pt>
                <c:pt idx="26">
                  <c:v>1520.1158177144059</c:v>
                </c:pt>
                <c:pt idx="27">
                  <c:v>1520.1158177144059</c:v>
                </c:pt>
                <c:pt idx="28">
                  <c:v>1520.1158177144059</c:v>
                </c:pt>
                <c:pt idx="29">
                  <c:v>1520.1158177144059</c:v>
                </c:pt>
                <c:pt idx="30">
                  <c:v>1520.1158177144059</c:v>
                </c:pt>
                <c:pt idx="31">
                  <c:v>1520.1158177144059</c:v>
                </c:pt>
                <c:pt idx="32">
                  <c:v>1520.1158177144059</c:v>
                </c:pt>
                <c:pt idx="33">
                  <c:v>1520.1158177144059</c:v>
                </c:pt>
                <c:pt idx="34">
                  <c:v>1520.1158177144059</c:v>
                </c:pt>
                <c:pt idx="35">
                  <c:v>1520.1158177144059</c:v>
                </c:pt>
                <c:pt idx="36">
                  <c:v>1520.1158177144059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B5D5-43D1-99A2-89861461CB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4174832"/>
        <c:axId val="574171880"/>
      </c:scatterChart>
      <c:valAx>
        <c:axId val="5741748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rgbClr val="92D050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574171880"/>
        <c:crossesAt val="0"/>
        <c:crossBetween val="midCat"/>
        <c:minorUnit val="100"/>
      </c:valAx>
      <c:valAx>
        <c:axId val="574171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574174832"/>
        <c:crossesAt val="0"/>
        <c:crossBetween val="midCat"/>
        <c:minorUnit val="100"/>
      </c:valAx>
      <c:spPr>
        <a:noFill/>
        <a:ln w="254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7</xdr:col>
      <xdr:colOff>133145</xdr:colOff>
      <xdr:row>1</xdr:row>
      <xdr:rowOff>491613</xdr:rowOff>
    </xdr:from>
    <xdr:to>
      <xdr:col>26</xdr:col>
      <xdr:colOff>360794</xdr:colOff>
      <xdr:row>24</xdr:row>
      <xdr:rowOff>92177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8B9A313-37DF-476B-A4DA-D94A32445A3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513492</xdr:colOff>
      <xdr:row>19</xdr:row>
      <xdr:rowOff>141523</xdr:rowOff>
    </xdr:from>
    <xdr:to>
      <xdr:col>7</xdr:col>
      <xdr:colOff>288171</xdr:colOff>
      <xdr:row>39</xdr:row>
      <xdr:rowOff>2325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90ADD40-E5ED-4ADC-A42B-3559E9A4ACA8}"/>
            </a:ext>
          </a:extLst>
        </xdr:cNvPr>
        <xdr:cNvPicPr/>
      </xdr:nvPicPr>
      <xdr:blipFill rotWithShape="1">
        <a:blip xmlns:r="http://schemas.openxmlformats.org/officeDocument/2006/relationships" r:embed="rId2"/>
        <a:srcRect l="42268" t="17727" r="10868" b="13040"/>
        <a:stretch/>
      </xdr:blipFill>
      <xdr:spPr bwMode="auto">
        <a:xfrm>
          <a:off x="513492" y="6736864"/>
          <a:ext cx="5735020" cy="4536711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U293"/>
  <sheetViews>
    <sheetView showGridLines="0" showRowColHeaders="0" tabSelected="1" zoomScale="44" zoomScaleNormal="50" workbookViewId="0">
      <selection activeCell="T35" sqref="T35"/>
    </sheetView>
  </sheetViews>
  <sheetFormatPr defaultRowHeight="14.4" x14ac:dyDescent="0.3"/>
  <cols>
    <col min="1" max="1" width="13.21875" customWidth="1"/>
    <col min="2" max="2" width="28.88671875" customWidth="1"/>
    <col min="3" max="3" width="11.77734375" customWidth="1"/>
    <col min="4" max="4" width="8.77734375" bestFit="1" customWidth="1"/>
    <col min="5" max="5" width="8.77734375" customWidth="1"/>
    <col min="6" max="6" width="6.109375" customWidth="1"/>
    <col min="7" max="7" width="8.109375" bestFit="1" customWidth="1"/>
    <col min="8" max="8" width="8.109375" customWidth="1"/>
    <col min="9" max="9" width="5.5546875" bestFit="1" customWidth="1"/>
    <col min="10" max="10" width="10.44140625" customWidth="1"/>
    <col min="11" max="11" width="23.44140625" customWidth="1"/>
    <col min="12" max="12" width="24.44140625" customWidth="1"/>
    <col min="13" max="13" width="6.109375" customWidth="1"/>
    <col min="14" max="14" width="2.5546875" customWidth="1"/>
    <col min="15" max="15" width="11.5546875" customWidth="1"/>
    <col min="16" max="16" width="3.44140625" customWidth="1"/>
    <col min="17" max="17" width="14.77734375" customWidth="1"/>
    <col min="18" max="18" width="15.21875" customWidth="1"/>
    <col min="19" max="19" width="12.44140625" customWidth="1"/>
    <col min="20" max="20" width="14.44140625" bestFit="1" customWidth="1"/>
    <col min="21" max="21" width="11.5546875" bestFit="1" customWidth="1"/>
    <col min="22" max="22" width="14.21875" customWidth="1"/>
    <col min="23" max="23" width="9.33203125" bestFit="1" customWidth="1"/>
    <col min="24" max="24" width="8.88671875" bestFit="1" customWidth="1"/>
    <col min="25" max="25" width="10.77734375" customWidth="1"/>
    <col min="26" max="26" width="8.77734375" bestFit="1" customWidth="1"/>
    <col min="27" max="27" width="9.33203125" bestFit="1" customWidth="1"/>
  </cols>
  <sheetData>
    <row r="1" spans="1:42" ht="61.2" x14ac:dyDescent="1.1000000000000001">
      <c r="B1" s="95" t="s">
        <v>45</v>
      </c>
    </row>
    <row r="2" spans="1:42" ht="61.2" x14ac:dyDescent="1.1000000000000001">
      <c r="B2" s="95"/>
    </row>
    <row r="3" spans="1:42" ht="24" thickBot="1" x14ac:dyDescent="0.5">
      <c r="B3" s="59" t="s">
        <v>62</v>
      </c>
      <c r="C3" s="60"/>
      <c r="D3" s="60"/>
      <c r="E3" s="60"/>
      <c r="F3" s="60"/>
    </row>
    <row r="4" spans="1:42" ht="23.4" x14ac:dyDescent="0.45">
      <c r="B4" s="73" t="s">
        <v>63</v>
      </c>
      <c r="C4" s="74">
        <v>10.5</v>
      </c>
      <c r="D4" s="74" t="s">
        <v>28</v>
      </c>
      <c r="E4" s="75"/>
      <c r="F4" s="76"/>
    </row>
    <row r="5" spans="1:42" ht="23.4" x14ac:dyDescent="0.45">
      <c r="B5" s="77" t="s">
        <v>64</v>
      </c>
      <c r="C5" s="90">
        <v>9.5</v>
      </c>
      <c r="D5" s="61" t="s">
        <v>36</v>
      </c>
      <c r="E5" s="62"/>
      <c r="F5" s="78">
        <f>C5/C4</f>
        <v>0.90476190476190477</v>
      </c>
    </row>
    <row r="6" spans="1:42" ht="23.4" x14ac:dyDescent="0.45">
      <c r="A6" s="3"/>
      <c r="B6" s="79" t="s">
        <v>56</v>
      </c>
      <c r="C6" s="63">
        <v>300</v>
      </c>
      <c r="D6" s="64" t="s">
        <v>8</v>
      </c>
      <c r="E6" s="65"/>
      <c r="F6" s="80"/>
      <c r="G6" s="5"/>
      <c r="H6" s="5"/>
      <c r="I6" s="5"/>
      <c r="J6" s="5"/>
      <c r="K6" s="5"/>
      <c r="L6" s="5"/>
      <c r="M6" s="5"/>
      <c r="N6" s="5"/>
      <c r="O6" s="5"/>
      <c r="P6" s="5"/>
      <c r="Q6" s="6"/>
      <c r="R6" s="6"/>
      <c r="S6" s="6"/>
      <c r="T6" s="6"/>
      <c r="U6" s="6"/>
      <c r="V6" s="7"/>
      <c r="W6" s="7"/>
      <c r="X6" s="6"/>
      <c r="Y6" s="6"/>
      <c r="Z6" s="8"/>
      <c r="AA6" s="6"/>
      <c r="AB6" s="8"/>
      <c r="AC6" s="8"/>
      <c r="AD6" s="8"/>
      <c r="AE6" s="6"/>
      <c r="AF6" s="5"/>
      <c r="AG6" s="3"/>
      <c r="AH6" s="3"/>
      <c r="AI6" s="3"/>
      <c r="AJ6" s="3"/>
      <c r="AK6" s="3"/>
      <c r="AL6" s="3"/>
      <c r="AM6" s="3"/>
      <c r="AN6" s="3"/>
      <c r="AO6" s="3"/>
      <c r="AP6" s="3"/>
    </row>
    <row r="7" spans="1:42" ht="23.4" x14ac:dyDescent="0.45">
      <c r="A7" s="3"/>
      <c r="B7" s="81" t="s">
        <v>65</v>
      </c>
      <c r="C7" s="66">
        <v>10</v>
      </c>
      <c r="D7" s="67" t="s">
        <v>10</v>
      </c>
      <c r="E7" s="68"/>
      <c r="F7" s="82" t="str">
        <f>COMPLEX(0,C7)</f>
        <v>10i</v>
      </c>
      <c r="G7" s="5"/>
      <c r="H7" s="5"/>
      <c r="I7" s="5"/>
      <c r="J7" s="5"/>
      <c r="K7" s="5"/>
      <c r="L7" s="5"/>
      <c r="M7" s="5"/>
      <c r="N7" s="5"/>
      <c r="O7" s="5"/>
      <c r="P7" s="5"/>
      <c r="Q7" s="6"/>
      <c r="R7" s="6"/>
      <c r="S7" s="6"/>
      <c r="T7" s="6"/>
      <c r="U7" s="6"/>
      <c r="V7" s="7"/>
      <c r="W7" s="7"/>
      <c r="X7" s="6"/>
      <c r="Y7" s="6"/>
      <c r="Z7" s="8"/>
      <c r="AA7" s="6"/>
      <c r="AB7" s="8"/>
      <c r="AC7" s="8"/>
      <c r="AD7" s="8"/>
      <c r="AE7" s="6"/>
      <c r="AF7" s="5"/>
      <c r="AG7" s="3"/>
      <c r="AH7" s="3"/>
      <c r="AI7" s="3"/>
      <c r="AJ7" s="3"/>
      <c r="AK7" s="3"/>
      <c r="AL7" s="3"/>
      <c r="AM7" s="3"/>
      <c r="AN7" s="3"/>
      <c r="AO7" s="3"/>
      <c r="AP7" s="3"/>
    </row>
    <row r="8" spans="1:42" ht="23.4" x14ac:dyDescent="0.45">
      <c r="A8" s="3"/>
      <c r="B8" s="83" t="s">
        <v>66</v>
      </c>
      <c r="C8" s="69">
        <v>5774</v>
      </c>
      <c r="D8" s="70" t="s">
        <v>48</v>
      </c>
      <c r="E8" s="70" t="s">
        <v>78</v>
      </c>
      <c r="F8" s="84"/>
      <c r="G8" s="5"/>
      <c r="H8" s="5"/>
      <c r="I8" s="5"/>
      <c r="J8" s="5"/>
      <c r="K8" s="5"/>
      <c r="L8" s="5"/>
      <c r="M8" s="5"/>
      <c r="N8" s="5"/>
      <c r="O8" s="5"/>
      <c r="P8" s="5"/>
      <c r="Q8" s="6"/>
      <c r="R8" s="6"/>
      <c r="S8" s="6"/>
      <c r="T8" s="6"/>
      <c r="U8" s="6"/>
      <c r="V8" s="7"/>
      <c r="W8" s="7"/>
      <c r="X8" s="6"/>
      <c r="Y8" s="6"/>
      <c r="Z8" s="8"/>
      <c r="AA8" s="6"/>
      <c r="AB8" s="8"/>
      <c r="AC8" s="8"/>
      <c r="AD8" s="8"/>
      <c r="AE8" s="6"/>
      <c r="AF8" s="5"/>
      <c r="AG8" s="3"/>
      <c r="AH8" s="3"/>
      <c r="AI8" s="3"/>
      <c r="AJ8" s="3"/>
      <c r="AK8" s="3"/>
      <c r="AL8" s="3"/>
      <c r="AM8" s="3"/>
      <c r="AN8" s="3"/>
      <c r="AO8" s="3"/>
      <c r="AP8" s="3"/>
    </row>
    <row r="9" spans="1:42" ht="23.4" x14ac:dyDescent="0.45">
      <c r="A9" s="3"/>
      <c r="B9" s="83" t="s">
        <v>67</v>
      </c>
      <c r="C9" s="71" t="s">
        <v>53</v>
      </c>
      <c r="D9" s="70" t="s">
        <v>54</v>
      </c>
      <c r="E9" s="72"/>
      <c r="F9" s="84"/>
      <c r="G9" s="5"/>
      <c r="H9" s="5"/>
      <c r="I9" s="5"/>
      <c r="J9" s="5"/>
      <c r="K9" s="5"/>
      <c r="L9" s="5"/>
      <c r="M9" s="5"/>
      <c r="N9" s="5"/>
      <c r="O9" s="5"/>
      <c r="P9" s="5"/>
      <c r="Q9" s="6"/>
      <c r="R9" s="6"/>
      <c r="S9" s="6"/>
      <c r="T9" s="6"/>
      <c r="U9" s="6"/>
      <c r="V9" s="7"/>
      <c r="W9" s="7"/>
      <c r="X9" s="6"/>
      <c r="Y9" s="6"/>
      <c r="Z9" s="8"/>
      <c r="AA9" s="6"/>
      <c r="AB9" s="8"/>
      <c r="AC9" s="8"/>
      <c r="AD9" s="8"/>
      <c r="AE9" s="6"/>
      <c r="AF9" s="5"/>
      <c r="AG9" s="3"/>
      <c r="AH9" s="3"/>
      <c r="AI9" s="3"/>
      <c r="AJ9" s="3"/>
      <c r="AK9" s="3"/>
      <c r="AL9" s="3"/>
      <c r="AM9" s="3"/>
      <c r="AN9" s="3"/>
      <c r="AO9" s="3"/>
      <c r="AP9" s="3"/>
    </row>
    <row r="10" spans="1:42" ht="23.4" x14ac:dyDescent="0.45">
      <c r="A10" s="3"/>
      <c r="B10" s="83" t="s">
        <v>68</v>
      </c>
      <c r="C10" s="69">
        <v>613</v>
      </c>
      <c r="D10" s="70" t="s">
        <v>1</v>
      </c>
      <c r="E10" s="72"/>
      <c r="F10" s="84"/>
      <c r="G10" s="5"/>
      <c r="H10" s="5"/>
      <c r="I10" s="5"/>
      <c r="J10" s="5"/>
      <c r="K10" s="5"/>
      <c r="L10" s="5"/>
      <c r="M10" s="5"/>
      <c r="N10" s="5"/>
      <c r="O10" s="5"/>
      <c r="P10" s="5"/>
      <c r="Q10" s="6"/>
      <c r="R10" s="6"/>
      <c r="S10" s="6"/>
      <c r="T10" s="6"/>
      <c r="U10" s="6"/>
      <c r="V10" s="7"/>
      <c r="W10" s="7"/>
      <c r="X10" s="6"/>
      <c r="Y10" s="6"/>
      <c r="Z10" s="8"/>
      <c r="AA10" s="6"/>
      <c r="AC10" s="8"/>
      <c r="AD10" s="8"/>
      <c r="AE10" s="6"/>
      <c r="AF10" s="5"/>
      <c r="AG10" s="3"/>
      <c r="AH10" s="3"/>
      <c r="AI10" s="3"/>
      <c r="AJ10" s="3"/>
      <c r="AK10" s="3"/>
      <c r="AL10" s="3"/>
      <c r="AM10" s="3"/>
      <c r="AN10" s="3"/>
      <c r="AO10" s="3"/>
      <c r="AP10" s="3"/>
    </row>
    <row r="11" spans="1:42" ht="23.4" x14ac:dyDescent="0.45">
      <c r="A11" s="3"/>
      <c r="B11" s="83" t="s">
        <v>57</v>
      </c>
      <c r="C11" s="69">
        <v>50</v>
      </c>
      <c r="D11" s="70" t="s">
        <v>19</v>
      </c>
      <c r="E11" s="70" t="s">
        <v>70</v>
      </c>
      <c r="F11" s="84"/>
      <c r="G11" s="5"/>
      <c r="H11" s="5"/>
      <c r="I11" s="5"/>
      <c r="J11" s="5"/>
      <c r="K11" s="5"/>
      <c r="L11" s="5"/>
      <c r="M11" s="5"/>
      <c r="N11" s="5"/>
      <c r="O11" s="5"/>
      <c r="P11" s="5"/>
      <c r="Q11" s="6"/>
      <c r="R11" s="6"/>
      <c r="S11" s="6"/>
      <c r="T11" s="6"/>
      <c r="U11" s="6"/>
      <c r="V11" s="7"/>
      <c r="W11" s="7"/>
      <c r="X11" s="6"/>
      <c r="Y11" s="6"/>
      <c r="Z11" s="8"/>
      <c r="AA11" s="6"/>
      <c r="AB11" s="8"/>
      <c r="AC11" s="8"/>
      <c r="AD11" s="8"/>
      <c r="AE11" s="6"/>
      <c r="AF11" s="5"/>
      <c r="AG11" s="3"/>
      <c r="AH11" s="3"/>
      <c r="AI11" s="3"/>
      <c r="AJ11" s="3"/>
      <c r="AK11" s="3"/>
      <c r="AL11" s="3"/>
      <c r="AM11" s="3"/>
      <c r="AN11" s="3"/>
      <c r="AO11" s="3"/>
      <c r="AP11" s="3"/>
    </row>
    <row r="12" spans="1:42" ht="24" thickBot="1" x14ac:dyDescent="0.5">
      <c r="A12" s="3"/>
      <c r="B12" s="85" t="s">
        <v>69</v>
      </c>
      <c r="C12" s="86" t="s">
        <v>50</v>
      </c>
      <c r="D12" s="87" t="s">
        <v>37</v>
      </c>
      <c r="E12" s="87"/>
      <c r="F12" s="88"/>
      <c r="G12" s="5"/>
      <c r="H12" s="5"/>
      <c r="I12" s="5"/>
      <c r="J12" s="5"/>
      <c r="K12" s="5"/>
      <c r="L12" s="5"/>
      <c r="M12" s="5"/>
      <c r="N12" s="5"/>
      <c r="O12" s="5"/>
      <c r="P12" s="5"/>
      <c r="Q12" s="6"/>
      <c r="R12" s="6"/>
      <c r="S12" s="6"/>
      <c r="T12" s="6"/>
      <c r="U12" s="6"/>
      <c r="V12" s="7"/>
      <c r="W12" s="7"/>
      <c r="X12" s="6"/>
      <c r="Y12" s="6"/>
      <c r="Z12" s="8"/>
      <c r="AA12" s="6"/>
      <c r="AB12" s="8"/>
      <c r="AC12" s="8"/>
      <c r="AD12" s="8"/>
      <c r="AE12" s="6"/>
      <c r="AF12" s="5"/>
      <c r="AG12" s="3"/>
      <c r="AH12" s="3"/>
      <c r="AI12" s="3"/>
      <c r="AJ12" s="3"/>
      <c r="AK12" s="3"/>
      <c r="AL12" s="3"/>
      <c r="AM12" s="3"/>
      <c r="AN12" s="3"/>
      <c r="AO12" s="3"/>
      <c r="AP12" s="3"/>
    </row>
    <row r="13" spans="1:42" ht="23.4" x14ac:dyDescent="0.45">
      <c r="A13" s="3"/>
      <c r="B13" s="57" t="s">
        <v>55</v>
      </c>
      <c r="C13" s="89"/>
      <c r="D13" s="31"/>
      <c r="E13" s="31"/>
      <c r="F13" s="15"/>
      <c r="G13" s="5"/>
      <c r="H13" s="5"/>
      <c r="I13" s="5"/>
      <c r="J13" s="5"/>
      <c r="K13" s="5"/>
      <c r="L13" s="5"/>
      <c r="M13" s="5"/>
      <c r="N13" s="5"/>
      <c r="O13" s="5"/>
      <c r="P13" s="5"/>
      <c r="Q13" s="6"/>
      <c r="R13" s="6"/>
      <c r="S13" s="6"/>
      <c r="T13" s="6"/>
      <c r="U13" s="6"/>
      <c r="V13" s="7"/>
      <c r="W13" s="7"/>
      <c r="X13" s="6"/>
      <c r="Y13" s="6"/>
      <c r="Z13" s="8"/>
      <c r="AA13" s="6"/>
      <c r="AB13" s="8"/>
      <c r="AC13" s="8"/>
      <c r="AD13" s="8"/>
      <c r="AE13" s="6"/>
      <c r="AF13" s="5"/>
      <c r="AG13" s="3"/>
      <c r="AH13" s="3"/>
      <c r="AI13" s="3"/>
      <c r="AJ13" s="3"/>
      <c r="AK13" s="3"/>
      <c r="AL13" s="3"/>
      <c r="AM13" s="3"/>
      <c r="AN13" s="3"/>
      <c r="AO13" s="3"/>
      <c r="AP13" s="3"/>
    </row>
    <row r="14" spans="1:42" ht="24" thickBot="1" x14ac:dyDescent="0.5">
      <c r="A14" s="3"/>
      <c r="B14" s="58" t="s">
        <v>47</v>
      </c>
      <c r="C14" s="32"/>
      <c r="D14" s="31"/>
      <c r="E14" s="39"/>
      <c r="F14" s="15"/>
      <c r="G14" s="5"/>
      <c r="H14" s="5"/>
      <c r="I14" s="5"/>
      <c r="J14" s="5"/>
      <c r="K14" s="5"/>
      <c r="L14" s="5"/>
      <c r="M14" s="5"/>
      <c r="N14" s="5"/>
      <c r="O14" s="5"/>
      <c r="P14" s="5"/>
      <c r="Q14" s="6"/>
      <c r="R14" s="6"/>
      <c r="S14" s="6"/>
      <c r="T14" s="6"/>
      <c r="U14" s="6"/>
      <c r="V14" s="7"/>
      <c r="W14" s="7"/>
      <c r="X14" s="6"/>
      <c r="Y14" s="6"/>
      <c r="Z14" s="8"/>
      <c r="AA14" s="6"/>
      <c r="AB14" s="8"/>
      <c r="AC14" s="8"/>
      <c r="AD14" s="8"/>
      <c r="AE14" s="6"/>
      <c r="AF14" s="5"/>
      <c r="AG14" s="3"/>
      <c r="AH14" s="3"/>
      <c r="AI14" s="3"/>
      <c r="AJ14" s="3"/>
      <c r="AK14" s="3"/>
      <c r="AL14" s="3"/>
      <c r="AM14" s="3"/>
      <c r="AN14" s="3"/>
      <c r="AO14" s="3"/>
      <c r="AP14" s="3"/>
    </row>
    <row r="15" spans="1:42" ht="23.4" x14ac:dyDescent="0.45">
      <c r="A15" s="3"/>
      <c r="B15" s="56" t="s">
        <v>61</v>
      </c>
      <c r="C15" s="91">
        <v>34.200000000000003</v>
      </c>
      <c r="D15" s="43" t="s">
        <v>1</v>
      </c>
      <c r="E15" s="58" t="str">
        <f>IF(C15&gt;85,"too high",IF(C15&lt;3,"too low",""))</f>
        <v/>
      </c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6"/>
      <c r="R15" s="6"/>
      <c r="S15" s="6"/>
      <c r="T15" s="6"/>
      <c r="U15" s="6"/>
      <c r="V15" s="6"/>
      <c r="W15" s="6"/>
      <c r="X15" s="6"/>
      <c r="Y15" s="6"/>
      <c r="Z15" s="8"/>
      <c r="AA15" s="6"/>
      <c r="AB15" s="8"/>
      <c r="AC15" s="8"/>
      <c r="AD15" s="8"/>
      <c r="AE15" s="6"/>
      <c r="AF15" s="5"/>
      <c r="AG15" s="3"/>
      <c r="AH15" s="3"/>
      <c r="AI15" s="3"/>
      <c r="AJ15" s="3"/>
      <c r="AK15" s="3"/>
      <c r="AL15" s="3"/>
      <c r="AM15" s="3"/>
      <c r="AN15" s="3"/>
      <c r="AO15" s="3"/>
      <c r="AP15" s="3"/>
    </row>
    <row r="16" spans="1:42" ht="23.4" x14ac:dyDescent="0.45">
      <c r="A16" s="3"/>
      <c r="B16" s="44" t="s">
        <v>58</v>
      </c>
      <c r="C16" s="92">
        <v>17164</v>
      </c>
      <c r="D16" s="45" t="s">
        <v>9</v>
      </c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6"/>
      <c r="R16" s="6"/>
      <c r="S16" s="6"/>
      <c r="T16" s="6"/>
      <c r="U16" s="6"/>
      <c r="V16" s="6"/>
      <c r="W16" s="6"/>
      <c r="X16" s="6"/>
      <c r="Y16" s="6"/>
      <c r="Z16" s="8"/>
      <c r="AA16" s="6"/>
      <c r="AB16" s="8"/>
      <c r="AC16" s="8"/>
      <c r="AD16" s="8"/>
      <c r="AE16" s="6"/>
      <c r="AF16" s="5"/>
      <c r="AG16" s="3"/>
      <c r="AH16" s="3"/>
      <c r="AI16" s="3"/>
      <c r="AJ16" s="3"/>
      <c r="AK16" s="3"/>
      <c r="AL16" s="3"/>
      <c r="AM16" s="3"/>
      <c r="AN16" s="3"/>
      <c r="AO16" s="3"/>
      <c r="AP16" s="3"/>
    </row>
    <row r="17" spans="1:42" ht="23.4" x14ac:dyDescent="0.45">
      <c r="A17" s="3"/>
      <c r="B17" s="46" t="s">
        <v>59</v>
      </c>
      <c r="C17" s="93">
        <v>7</v>
      </c>
      <c r="D17" s="47" t="s">
        <v>10</v>
      </c>
      <c r="E17" s="4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9"/>
      <c r="AA17" s="5"/>
      <c r="AB17" s="9"/>
      <c r="AC17" s="9"/>
      <c r="AD17" s="9"/>
      <c r="AE17" s="5"/>
      <c r="AF17" s="5"/>
      <c r="AG17" s="3"/>
      <c r="AH17" s="3"/>
      <c r="AI17" s="3"/>
      <c r="AJ17" s="3"/>
      <c r="AK17" s="3"/>
      <c r="AL17" s="3"/>
      <c r="AM17" s="3"/>
      <c r="AN17" s="3"/>
      <c r="AO17" s="3"/>
      <c r="AP17" s="3"/>
    </row>
    <row r="18" spans="1:42" ht="24" thickBot="1" x14ac:dyDescent="0.5">
      <c r="A18" s="3"/>
      <c r="B18" s="48" t="s">
        <v>60</v>
      </c>
      <c r="C18" s="94">
        <v>9</v>
      </c>
      <c r="D18" s="49" t="s">
        <v>10</v>
      </c>
      <c r="E18" s="4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6"/>
      <c r="R18" s="6"/>
      <c r="S18" s="6"/>
      <c r="T18" s="6"/>
      <c r="U18" s="6"/>
      <c r="V18" s="6"/>
      <c r="W18" s="6"/>
      <c r="X18" s="6"/>
      <c r="Y18" s="6"/>
      <c r="Z18" s="8"/>
      <c r="AA18" s="6"/>
      <c r="AB18" s="8"/>
      <c r="AC18" s="8"/>
      <c r="AD18" s="8"/>
      <c r="AE18" s="5"/>
      <c r="AF18" s="5"/>
      <c r="AG18" s="3"/>
      <c r="AH18" s="3"/>
      <c r="AI18" s="3"/>
      <c r="AJ18" s="3"/>
      <c r="AK18" s="3"/>
      <c r="AL18" s="3"/>
      <c r="AM18" s="3"/>
      <c r="AN18" s="3"/>
      <c r="AO18" s="3"/>
      <c r="AP18" s="3"/>
    </row>
    <row r="19" spans="1:42" s="2" customFormat="1" x14ac:dyDescent="0.3"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40"/>
      <c r="AC19" s="40"/>
      <c r="AD19" s="40"/>
      <c r="AE19" s="1"/>
      <c r="AF19" s="1"/>
    </row>
    <row r="20" spans="1:42" s="2" customFormat="1" x14ac:dyDescent="0.3">
      <c r="B20" s="15" t="s">
        <v>22</v>
      </c>
      <c r="C20" s="15">
        <f>-(C7+C18)/C17</f>
        <v>-2.7142857142857144</v>
      </c>
      <c r="D20" s="97"/>
      <c r="E20" s="97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6"/>
      <c r="S20" s="16"/>
      <c r="T20" s="16"/>
      <c r="U20" s="16"/>
      <c r="V20" s="33"/>
      <c r="W20" s="33"/>
      <c r="X20" s="33"/>
      <c r="Y20" s="33"/>
      <c r="Z20" s="33"/>
      <c r="AA20" s="33"/>
      <c r="AB20" s="40"/>
      <c r="AC20" s="40"/>
      <c r="AD20" s="40"/>
      <c r="AE20" s="1"/>
      <c r="AF20" s="1"/>
    </row>
    <row r="21" spans="1:42" s="2" customFormat="1" x14ac:dyDescent="0.3">
      <c r="B21" s="97" t="s">
        <v>75</v>
      </c>
      <c r="C21" s="15">
        <f>ATAN(C20)</f>
        <v>-1.2178059389679861</v>
      </c>
      <c r="D21" s="11" t="s">
        <v>0</v>
      </c>
      <c r="E21" s="11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6"/>
      <c r="R21" s="16"/>
      <c r="S21" s="16"/>
      <c r="T21" s="16"/>
      <c r="U21" s="16"/>
      <c r="V21" s="33"/>
      <c r="W21" s="33"/>
      <c r="X21" s="33"/>
      <c r="Y21" s="33"/>
      <c r="Z21" s="33"/>
      <c r="AA21" s="33"/>
      <c r="AB21" s="40"/>
      <c r="AC21" s="40"/>
      <c r="AD21" s="40"/>
      <c r="AE21" s="1"/>
      <c r="AF21" s="1"/>
    </row>
    <row r="22" spans="1:42" s="2" customFormat="1" x14ac:dyDescent="0.3">
      <c r="B22" s="15" t="s">
        <v>4</v>
      </c>
      <c r="C22" s="15">
        <f>-(C15*C6*(C7+C18))/((C17*C17+C7*C7+2*C7*C18+C18*C18)*SIN(C21))</f>
        <v>506.70528308123943</v>
      </c>
      <c r="D22" s="15" t="s">
        <v>1</v>
      </c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6"/>
      <c r="S22" s="16"/>
      <c r="T22" s="16"/>
      <c r="U22" s="16"/>
      <c r="V22" s="33"/>
      <c r="W22" s="33"/>
      <c r="X22" s="33"/>
      <c r="Y22" s="33"/>
      <c r="Z22" s="33"/>
      <c r="AA22" s="33"/>
      <c r="AB22" s="40"/>
      <c r="AC22" s="40"/>
      <c r="AD22" s="40"/>
      <c r="AE22" s="1"/>
      <c r="AF22" s="1"/>
    </row>
    <row r="23" spans="1:42" s="2" customFormat="1" ht="23.4" x14ac:dyDescent="0.45">
      <c r="B23" s="98"/>
      <c r="C23" s="11"/>
      <c r="D23" s="57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6"/>
      <c r="S23" s="16"/>
      <c r="T23" s="16"/>
      <c r="U23" s="16"/>
      <c r="V23" s="33"/>
      <c r="W23" s="33"/>
      <c r="X23" s="33"/>
      <c r="Y23" s="33"/>
      <c r="Z23" s="33"/>
      <c r="AA23" s="33"/>
      <c r="AB23" s="40"/>
      <c r="AC23" s="40"/>
      <c r="AD23" s="40"/>
      <c r="AE23" s="1"/>
      <c r="AF23" s="1"/>
    </row>
    <row r="24" spans="1:42" s="2" customFormat="1" x14ac:dyDescent="0.3">
      <c r="B24" s="15" t="s">
        <v>39</v>
      </c>
      <c r="C24" s="15" t="str">
        <f>COMPLEX(C17,C18)</f>
        <v>7+9i</v>
      </c>
      <c r="D24" s="15"/>
      <c r="E24" s="15"/>
      <c r="F24" s="15" t="s">
        <v>0</v>
      </c>
      <c r="G24" s="15"/>
      <c r="H24" s="15"/>
      <c r="I24" s="15"/>
      <c r="J24" s="15" t="s">
        <v>21</v>
      </c>
      <c r="K24" s="15"/>
      <c r="L24" s="15" t="s">
        <v>11</v>
      </c>
      <c r="M24" s="15"/>
      <c r="N24" s="15"/>
      <c r="O24" s="15"/>
      <c r="P24" s="15"/>
      <c r="Q24" s="15"/>
      <c r="R24" s="16"/>
      <c r="S24" s="16"/>
      <c r="T24" s="16"/>
      <c r="U24" s="16"/>
      <c r="V24" s="33"/>
      <c r="W24" s="33"/>
      <c r="X24" s="33"/>
      <c r="Y24" s="33"/>
      <c r="Z24" s="33"/>
      <c r="AA24" s="33"/>
      <c r="AB24" s="1"/>
      <c r="AC24" s="1"/>
      <c r="AD24" s="1"/>
      <c r="AE24" s="1"/>
      <c r="AF24" s="1"/>
    </row>
    <row r="25" spans="1:42" s="2" customFormat="1" x14ac:dyDescent="0.3">
      <c r="B25" s="15" t="s">
        <v>40</v>
      </c>
      <c r="C25" s="15" t="str">
        <f>COMPLEX(C22*COS(C21),C22*SIN(C21))</f>
        <v>175,170731707317-475,463414634146i</v>
      </c>
      <c r="D25" s="15">
        <f>IMABS(C25)</f>
        <v>506.70528308123909</v>
      </c>
      <c r="E25" s="15"/>
      <c r="F25" s="15">
        <f>IMARGUMENT(C25)</f>
        <v>-1.2178059389679861</v>
      </c>
      <c r="G25" s="15">
        <f>ROUND(D25,0)</f>
        <v>507</v>
      </c>
      <c r="H25" s="15"/>
      <c r="I25" s="15"/>
      <c r="J25" s="15">
        <f>F25-G26</f>
        <v>-0.90975315794420941</v>
      </c>
      <c r="K25" s="15"/>
      <c r="L25" s="15">
        <f>J25*180/3.1415</f>
        <v>-52.126553694081707</v>
      </c>
      <c r="M25" s="15"/>
      <c r="N25" s="15">
        <f>ROUND(L25,1)</f>
        <v>-52.1</v>
      </c>
      <c r="O25" s="11">
        <f>D25*COS(J25)</f>
        <v>311.0869523661475</v>
      </c>
      <c r="P25" s="11"/>
      <c r="Q25" s="15">
        <f>D25*SIN(J25)</f>
        <v>-399.9689387564751</v>
      </c>
      <c r="R25" s="16"/>
      <c r="S25" s="16"/>
      <c r="T25" s="16"/>
      <c r="U25" s="16"/>
      <c r="V25" s="33"/>
      <c r="W25" s="33"/>
      <c r="X25" s="33"/>
      <c r="Y25" s="33"/>
      <c r="Z25" s="33"/>
      <c r="AA25" s="33"/>
      <c r="AB25" s="33"/>
      <c r="AC25" s="33"/>
      <c r="AD25" s="33"/>
      <c r="AE25" s="1"/>
      <c r="AF25" s="1"/>
    </row>
    <row r="26" spans="1:42" s="2" customFormat="1" x14ac:dyDescent="0.3">
      <c r="B26" s="15" t="s">
        <v>41</v>
      </c>
      <c r="C26" s="15" t="str">
        <f>IMPRODUCT(C24,C25)</f>
        <v>5505,36585365853-1751,70731707317i</v>
      </c>
      <c r="D26" s="29">
        <f>IMABS(C26)</f>
        <v>5777.3291153713062</v>
      </c>
      <c r="E26" s="30">
        <f>ROUND(D26,0)</f>
        <v>5777</v>
      </c>
      <c r="F26" s="15">
        <f t="shared" ref="F26:F28" si="0">IMARGUMENT(C26)</f>
        <v>-0.30805278102377665</v>
      </c>
      <c r="G26" s="15">
        <f>F26</f>
        <v>-0.30805278102377665</v>
      </c>
      <c r="H26" s="15"/>
      <c r="I26" s="15"/>
      <c r="J26" s="15">
        <f>F26-G26</f>
        <v>0</v>
      </c>
      <c r="K26" s="15"/>
      <c r="L26" s="15">
        <f>J26*180/3.1415</f>
        <v>0</v>
      </c>
      <c r="M26" s="15"/>
      <c r="N26" s="15"/>
      <c r="O26" s="11">
        <f t="shared" ref="O26:O28" si="1">D26*COS(J26)</f>
        <v>5777.3291153713062</v>
      </c>
      <c r="P26" s="11"/>
      <c r="Q26" s="15">
        <f t="shared" ref="Q26:Q28" si="2">D26*SIN(J26)</f>
        <v>0</v>
      </c>
      <c r="R26" s="16">
        <f>-O26</f>
        <v>-5777.3291153713062</v>
      </c>
      <c r="S26" s="16"/>
      <c r="T26" s="16"/>
      <c r="U26" s="16"/>
      <c r="V26" s="33"/>
      <c r="W26" s="33"/>
      <c r="X26" s="33"/>
      <c r="Y26" s="33"/>
      <c r="Z26" s="33"/>
      <c r="AA26" s="33"/>
      <c r="AB26" s="33"/>
      <c r="AC26" s="33"/>
      <c r="AD26" s="33"/>
      <c r="AE26" s="1"/>
      <c r="AF26" s="1"/>
    </row>
    <row r="27" spans="1:42" s="2" customFormat="1" x14ac:dyDescent="0.3">
      <c r="B27" s="15" t="s">
        <v>42</v>
      </c>
      <c r="C27" s="15" t="str">
        <f>IMPRODUCT(F7,C25)</f>
        <v>4754,63414634146+1751,70731707317i</v>
      </c>
      <c r="D27" s="15">
        <f>IMABS(C27)</f>
        <v>5067.0528308123912</v>
      </c>
      <c r="E27" s="15"/>
      <c r="F27" s="15">
        <f t="shared" si="0"/>
        <v>0.35299038782691061</v>
      </c>
      <c r="G27" s="15"/>
      <c r="H27" s="15"/>
      <c r="I27" s="15"/>
      <c r="J27" s="15">
        <f>F27-G26</f>
        <v>0.66104316885068726</v>
      </c>
      <c r="K27" s="15"/>
      <c r="L27" s="15">
        <f>J27*180/3.1415</f>
        <v>37.876100714029512</v>
      </c>
      <c r="M27" s="15"/>
      <c r="N27" s="15"/>
      <c r="O27" s="11">
        <f t="shared" si="1"/>
        <v>3999.6893875647511</v>
      </c>
      <c r="P27" s="11"/>
      <c r="Q27" s="15">
        <f t="shared" si="2"/>
        <v>3110.8695236614758</v>
      </c>
      <c r="R27" s="11"/>
      <c r="S27" s="16"/>
      <c r="T27" s="16"/>
      <c r="U27" s="16"/>
      <c r="V27" s="33"/>
      <c r="W27" s="33"/>
      <c r="X27" s="33"/>
      <c r="Y27" s="33"/>
      <c r="Z27" s="33"/>
      <c r="AA27" s="33"/>
      <c r="AB27" s="33"/>
      <c r="AC27" s="33"/>
      <c r="AD27" s="33"/>
      <c r="AE27" s="1"/>
      <c r="AF27" s="1"/>
    </row>
    <row r="28" spans="1:42" s="2" customFormat="1" ht="15" thickBot="1" x14ac:dyDescent="0.35">
      <c r="B28" s="15" t="s">
        <v>43</v>
      </c>
      <c r="C28" s="15" t="str">
        <f>IMSUM(C26,C27)</f>
        <v>10260</v>
      </c>
      <c r="D28" s="15">
        <f>IMABS(C28)</f>
        <v>10260</v>
      </c>
      <c r="E28" s="15"/>
      <c r="F28" s="15">
        <f t="shared" si="0"/>
        <v>0</v>
      </c>
      <c r="G28" s="15"/>
      <c r="H28" s="15"/>
      <c r="I28" s="15"/>
      <c r="J28" s="15">
        <f>F28-G26</f>
        <v>0.30805278102377665</v>
      </c>
      <c r="K28" s="15"/>
      <c r="L28" s="15">
        <f>J28*180/3.1415</f>
        <v>17.650644782517841</v>
      </c>
      <c r="M28" s="15"/>
      <c r="N28" s="15"/>
      <c r="O28" s="11">
        <f t="shared" si="1"/>
        <v>9777.0185029360673</v>
      </c>
      <c r="P28" s="11"/>
      <c r="Q28" s="15">
        <f t="shared" si="2"/>
        <v>3110.8695236614785</v>
      </c>
      <c r="R28" s="16">
        <f>O26-O27</f>
        <v>1777.6397278065551</v>
      </c>
      <c r="S28" s="99">
        <f>ROUND(L28,1)</f>
        <v>17.7</v>
      </c>
      <c r="T28" s="16" t="str">
        <f>_xlfn.CONCAT("load angle ",S28,B39)</f>
        <v>load angle 17,7°</v>
      </c>
      <c r="U28" s="16"/>
      <c r="V28" s="33"/>
      <c r="W28" s="33"/>
      <c r="X28" s="33"/>
      <c r="Y28" s="33"/>
      <c r="Z28" s="33"/>
      <c r="AA28" s="33"/>
      <c r="AB28" s="33"/>
      <c r="AC28" s="33"/>
      <c r="AD28" s="33"/>
      <c r="AE28" s="1"/>
      <c r="AF28" s="1"/>
    </row>
    <row r="29" spans="1:42" s="2" customFormat="1" ht="24" thickBot="1" x14ac:dyDescent="0.5">
      <c r="A29" s="41"/>
      <c r="B29" s="18" t="s">
        <v>15</v>
      </c>
      <c r="C29" s="19">
        <f>3*C22*C22*C17</f>
        <v>5391755.1219512187</v>
      </c>
      <c r="D29" s="20" t="s">
        <v>2</v>
      </c>
      <c r="E29" s="20"/>
      <c r="F29" s="21">
        <f>ROUND((C29/1000),0)</f>
        <v>5392</v>
      </c>
      <c r="G29" s="21" t="str">
        <f>_xlfn.CONCAT("Pg3f =",F29," kW")</f>
        <v>Pg3f =5392 kW</v>
      </c>
      <c r="H29" s="18"/>
      <c r="I29" s="18"/>
      <c r="J29" s="18"/>
      <c r="K29" s="118" t="s">
        <v>82</v>
      </c>
      <c r="L29" s="119">
        <f>E26</f>
        <v>5777</v>
      </c>
      <c r="M29" s="120" t="s">
        <v>48</v>
      </c>
      <c r="N29" s="121" t="s">
        <v>38</v>
      </c>
      <c r="O29" s="122">
        <v>0</v>
      </c>
      <c r="P29" s="123" t="s">
        <v>37</v>
      </c>
      <c r="Q29" s="110" t="s">
        <v>81</v>
      </c>
      <c r="R29" s="114"/>
      <c r="S29" s="112" t="str">
        <f>IF(R34&lt;&gt;C15,R34,"ok")</f>
        <v>ok</v>
      </c>
      <c r="T29" s="113" t="s">
        <v>1</v>
      </c>
      <c r="U29" s="16"/>
      <c r="V29" s="107">
        <f>ROUND(1000*F29/314.15,0)</f>
        <v>17164</v>
      </c>
      <c r="W29" s="33"/>
      <c r="X29" s="33"/>
      <c r="Y29" s="33"/>
      <c r="Z29" s="33"/>
      <c r="AA29" s="33"/>
      <c r="AB29" s="33"/>
      <c r="AC29" s="33"/>
      <c r="AD29" s="33"/>
      <c r="AE29" s="1"/>
      <c r="AF29" s="1"/>
    </row>
    <row r="30" spans="1:42" s="2" customFormat="1" ht="24" thickBot="1" x14ac:dyDescent="0.5">
      <c r="A30" s="41"/>
      <c r="B30" s="18" t="s">
        <v>14</v>
      </c>
      <c r="C30" s="19">
        <f>3*C22*C22*C18</f>
        <v>6932256.5853658523</v>
      </c>
      <c r="D30" s="20" t="s">
        <v>3</v>
      </c>
      <c r="E30" s="20"/>
      <c r="F30" s="21">
        <f>ROUND((C30/1000),0)</f>
        <v>6932</v>
      </c>
      <c r="G30" s="18" t="str">
        <f>_xlfn.CONCAT("Qg3f = ",F30, " kVAR")</f>
        <v>Qg3f = 6932 kVAR</v>
      </c>
      <c r="H30" s="18"/>
      <c r="I30" s="18"/>
      <c r="J30" s="18"/>
      <c r="K30" s="115" t="s">
        <v>46</v>
      </c>
      <c r="L30" s="116">
        <f>(C22*C22*C17*3)/(2*3.1415*C16)</f>
        <v>49.997074611293279</v>
      </c>
      <c r="M30" s="117" t="s">
        <v>19</v>
      </c>
      <c r="N30" s="124"/>
      <c r="O30" s="108"/>
      <c r="P30" s="102"/>
      <c r="Q30" s="110" t="s">
        <v>80</v>
      </c>
      <c r="R30" s="111"/>
      <c r="S30" s="147" t="str">
        <f>IF(C16=V29,"ok",V29)</f>
        <v>ok</v>
      </c>
      <c r="T30" s="113" t="s">
        <v>9</v>
      </c>
      <c r="W30" s="33"/>
      <c r="X30" s="33"/>
      <c r="Y30" s="33"/>
      <c r="Z30" s="33"/>
      <c r="AA30" s="33"/>
      <c r="AB30" s="33"/>
      <c r="AC30" s="33"/>
      <c r="AD30" s="33"/>
      <c r="AE30" s="1"/>
      <c r="AF30" s="1"/>
    </row>
    <row r="31" spans="1:42" s="2" customFormat="1" ht="24" thickBot="1" x14ac:dyDescent="0.5">
      <c r="A31" s="41"/>
      <c r="B31" s="18" t="s">
        <v>13</v>
      </c>
      <c r="C31" s="22">
        <f>-3*D28*C22*COS(F28-F25)</f>
        <v>-5391755.1219512196</v>
      </c>
      <c r="D31" s="20" t="s">
        <v>2</v>
      </c>
      <c r="E31" s="20"/>
      <c r="F31" s="17"/>
      <c r="G31" s="18"/>
      <c r="H31" s="18"/>
      <c r="I31" s="18"/>
      <c r="J31" s="18"/>
      <c r="K31" s="125" t="s">
        <v>83</v>
      </c>
      <c r="L31" s="126">
        <f>G25</f>
        <v>507</v>
      </c>
      <c r="M31" s="127" t="s">
        <v>1</v>
      </c>
      <c r="N31" s="128" t="s">
        <v>38</v>
      </c>
      <c r="O31" s="129">
        <f>N25</f>
        <v>-52.1</v>
      </c>
      <c r="P31" s="146" t="s">
        <v>37</v>
      </c>
      <c r="Q31" s="101" t="str">
        <f>IF(D25&gt;C10,"  too high","")</f>
        <v/>
      </c>
      <c r="R31" s="109"/>
      <c r="S31" s="109"/>
      <c r="T31" s="16" t="str">
        <f>COMPLEX(0,57740)</f>
        <v>57740i</v>
      </c>
      <c r="U31" s="16" t="str">
        <f>COMPLEX(C17,C18)</f>
        <v>7+9i</v>
      </c>
      <c r="V31" s="40"/>
      <c r="W31" s="40"/>
      <c r="X31" s="1"/>
      <c r="Y31" s="1"/>
      <c r="AB31" s="1"/>
      <c r="AC31" s="1"/>
    </row>
    <row r="32" spans="1:42" s="2" customFormat="1" ht="24" thickBot="1" x14ac:dyDescent="0.5">
      <c r="A32" s="41"/>
      <c r="B32" s="18" t="s">
        <v>12</v>
      </c>
      <c r="C32" s="22">
        <f>-3*D28*C22*SIN(F28-F25)</f>
        <v>-14634763.902439022</v>
      </c>
      <c r="D32" s="20" t="s">
        <v>3</v>
      </c>
      <c r="E32" s="20"/>
      <c r="F32" s="17"/>
      <c r="G32" s="17"/>
      <c r="H32" s="17"/>
      <c r="I32" s="41"/>
      <c r="J32" s="50"/>
      <c r="K32" s="130" t="s">
        <v>15</v>
      </c>
      <c r="L32" s="131">
        <f>F29</f>
        <v>5392</v>
      </c>
      <c r="M32" s="132" t="s">
        <v>76</v>
      </c>
      <c r="N32" s="133"/>
      <c r="O32" s="134"/>
      <c r="P32" s="108"/>
      <c r="Q32" s="101" t="str">
        <f>IF(C29&gt;C5*1000000,"  too high", "")</f>
        <v/>
      </c>
      <c r="R32" s="135"/>
      <c r="S32" s="136"/>
      <c r="T32" s="16" t="str">
        <f>IMDIV(T31,U31)</f>
        <v>3997,38461538462+3109,07692307692i</v>
      </c>
      <c r="U32" s="33"/>
      <c r="V32" s="1"/>
      <c r="W32" s="1"/>
      <c r="X32" s="1"/>
      <c r="Y32" s="33"/>
      <c r="Z32" s="1"/>
      <c r="AD32" s="1"/>
      <c r="AE32" s="1"/>
    </row>
    <row r="33" spans="1:47" s="2" customFormat="1" ht="23.4" x14ac:dyDescent="0.45">
      <c r="A33" s="41"/>
      <c r="B33" s="18"/>
      <c r="C33" s="22"/>
      <c r="D33" s="20"/>
      <c r="E33" s="20"/>
      <c r="F33" s="17"/>
      <c r="G33" s="17"/>
      <c r="H33" s="17"/>
      <c r="I33" s="41"/>
      <c r="J33" s="50"/>
      <c r="K33" s="130" t="s">
        <v>14</v>
      </c>
      <c r="L33" s="131">
        <f>F30</f>
        <v>6932</v>
      </c>
      <c r="M33" s="132" t="s">
        <v>79</v>
      </c>
      <c r="N33" s="133"/>
      <c r="O33" s="134"/>
      <c r="P33" s="108"/>
      <c r="Q33" s="113" t="str">
        <f>IF(L33&lt;0,"  Capacitive grid","  Inductive grid")</f>
        <v xml:space="preserve">  Inductive grid</v>
      </c>
      <c r="R33" s="135"/>
      <c r="S33" s="136"/>
      <c r="T33" s="16"/>
      <c r="U33" s="33"/>
      <c r="V33" s="1"/>
      <c r="W33" s="1"/>
      <c r="X33" s="1"/>
      <c r="Y33" s="33"/>
      <c r="Z33" s="1"/>
      <c r="AD33" s="1"/>
      <c r="AE33" s="1"/>
    </row>
    <row r="34" spans="1:47" s="2" customFormat="1" ht="24" thickBot="1" x14ac:dyDescent="0.5">
      <c r="A34" s="41"/>
      <c r="B34" s="18" t="s">
        <v>16</v>
      </c>
      <c r="C34" s="19">
        <f>3*C22*C22*C7</f>
        <v>7702507.3170731692</v>
      </c>
      <c r="D34" s="20" t="s">
        <v>3</v>
      </c>
      <c r="E34" s="20"/>
      <c r="F34" s="17"/>
      <c r="G34" s="23"/>
      <c r="H34" s="23"/>
      <c r="I34" s="55"/>
      <c r="J34" s="51"/>
      <c r="K34" s="137" t="s">
        <v>27</v>
      </c>
      <c r="L34" s="138">
        <f>D37</f>
        <v>8782</v>
      </c>
      <c r="M34" s="139" t="s">
        <v>77</v>
      </c>
      <c r="N34" s="140"/>
      <c r="O34" s="141"/>
      <c r="P34" s="108"/>
      <c r="Q34" s="101" t="str">
        <f>IF(C37&gt;10500000,"  too high","")</f>
        <v/>
      </c>
      <c r="R34" s="105">
        <f>ROUND(W35/C6,1)</f>
        <v>34.200000000000003</v>
      </c>
      <c r="S34" s="106" t="s">
        <v>1</v>
      </c>
      <c r="T34" s="103" t="str">
        <f>COMPLEX(5774,0)</f>
        <v>5774</v>
      </c>
      <c r="V34" s="1"/>
      <c r="W34" s="1"/>
      <c r="X34" s="1"/>
      <c r="Y34" s="33"/>
      <c r="Z34" s="1"/>
      <c r="AD34" s="1"/>
      <c r="AE34" s="1"/>
    </row>
    <row r="35" spans="1:47" s="2" customFormat="1" ht="24" thickBot="1" x14ac:dyDescent="0.5">
      <c r="A35" s="41"/>
      <c r="B35" s="18" t="s">
        <v>17</v>
      </c>
      <c r="C35" s="18">
        <f>C29+C31</f>
        <v>0</v>
      </c>
      <c r="D35" s="24"/>
      <c r="E35" s="24"/>
      <c r="F35" s="17"/>
      <c r="G35" s="23"/>
      <c r="H35" s="23"/>
      <c r="I35" s="55"/>
      <c r="J35" s="51"/>
      <c r="K35" s="118" t="s">
        <v>84</v>
      </c>
      <c r="L35" s="142">
        <f>ROUND(S28,1)</f>
        <v>17.7</v>
      </c>
      <c r="M35" s="123" t="s">
        <v>37</v>
      </c>
      <c r="N35" s="143"/>
      <c r="P35" s="58"/>
      <c r="Q35" s="58" t="str">
        <f>IF(S28&gt;70,"  too high","")</f>
        <v/>
      </c>
      <c r="R35" s="144"/>
      <c r="S35" s="145"/>
      <c r="T35" s="104" t="str">
        <f>IMSUM(T34,T32)</f>
        <v>9771,38461538462+3109,07692307692i</v>
      </c>
      <c r="U35" s="35"/>
      <c r="V35" s="1"/>
      <c r="W35" s="15">
        <f>IMABS(T35)</f>
        <v>10254.087800257255</v>
      </c>
      <c r="Y35" s="33"/>
      <c r="Z35" s="1"/>
      <c r="AD35" s="1"/>
      <c r="AE35" s="1"/>
    </row>
    <row r="36" spans="1:47" s="2" customFormat="1" x14ac:dyDescent="0.3">
      <c r="A36" s="41"/>
      <c r="B36" s="18" t="s">
        <v>18</v>
      </c>
      <c r="C36" s="24">
        <f>C30+C32+C34</f>
        <v>0</v>
      </c>
      <c r="D36" s="18"/>
      <c r="E36" s="18"/>
      <c r="F36" s="17"/>
      <c r="G36" s="25"/>
      <c r="H36" s="25"/>
      <c r="I36" s="52"/>
      <c r="J36" s="52"/>
      <c r="T36" s="37"/>
      <c r="U36" s="36"/>
      <c r="V36" s="1"/>
      <c r="W36" s="1"/>
      <c r="X36" s="1"/>
      <c r="Y36" s="33"/>
      <c r="Z36" s="1"/>
      <c r="AD36" s="1"/>
      <c r="AE36" s="1"/>
    </row>
    <row r="37" spans="1:47" s="2" customFormat="1" x14ac:dyDescent="0.3">
      <c r="A37" s="41"/>
      <c r="B37" s="18" t="s">
        <v>27</v>
      </c>
      <c r="C37" s="22" cm="1">
        <f t="array" ref="C37">SQRT(C29*C29+C30*C30:C30)</f>
        <v>8782209.5545731224</v>
      </c>
      <c r="D37" s="21">
        <f>ROUND(C37/1000,0)</f>
        <v>8782</v>
      </c>
      <c r="E37" s="18"/>
      <c r="F37" s="17"/>
      <c r="G37" s="25"/>
      <c r="H37" s="25"/>
      <c r="I37" s="52"/>
      <c r="J37" s="52"/>
      <c r="R37" s="6"/>
      <c r="S37" s="36"/>
      <c r="T37" s="37"/>
      <c r="U37" s="36"/>
      <c r="V37" s="1"/>
      <c r="W37" s="1"/>
      <c r="X37" s="1"/>
      <c r="Y37" s="33"/>
      <c r="Z37" s="1"/>
      <c r="AD37" s="1"/>
      <c r="AE37" s="1"/>
    </row>
    <row r="38" spans="1:47" s="2" customFormat="1" x14ac:dyDescent="0.3">
      <c r="A38" s="41"/>
      <c r="B38" s="18" t="s">
        <v>20</v>
      </c>
      <c r="C38" s="17">
        <v>0</v>
      </c>
      <c r="D38" s="24"/>
      <c r="E38" s="24"/>
      <c r="F38" s="17"/>
      <c r="G38" s="25"/>
      <c r="H38" s="25"/>
      <c r="I38" s="52"/>
      <c r="J38" s="52"/>
      <c r="R38" s="5"/>
      <c r="S38" s="37"/>
      <c r="T38" s="37"/>
      <c r="U38" s="37"/>
      <c r="V38" s="1"/>
      <c r="W38" s="1"/>
      <c r="X38" s="1"/>
      <c r="Y38" s="33"/>
      <c r="Z38" s="1"/>
      <c r="AD38" s="1"/>
      <c r="AE38" s="1"/>
    </row>
    <row r="39" spans="1:47" s="11" customFormat="1" x14ac:dyDescent="0.3">
      <c r="A39" s="17"/>
      <c r="B39" s="26" t="s">
        <v>37</v>
      </c>
      <c r="C39" s="24"/>
      <c r="D39" s="18"/>
      <c r="E39" s="18"/>
      <c r="F39" s="17"/>
      <c r="G39" s="23"/>
      <c r="H39" s="23"/>
      <c r="I39" s="55"/>
      <c r="J39" s="53"/>
      <c r="K39" s="53"/>
      <c r="L39" s="42"/>
      <c r="M39" s="42"/>
      <c r="N39" s="42"/>
      <c r="O39" s="34"/>
      <c r="P39" s="34"/>
      <c r="Q39" s="34"/>
      <c r="R39" s="34"/>
      <c r="S39" s="34"/>
      <c r="T39" s="34"/>
      <c r="V39" s="15"/>
      <c r="W39" s="15"/>
      <c r="X39" s="15"/>
      <c r="Y39" s="16"/>
      <c r="Z39" s="15"/>
      <c r="AD39" s="15"/>
      <c r="AE39" s="15"/>
    </row>
    <row r="40" spans="1:47" s="11" customFormat="1" ht="23.4" x14ac:dyDescent="0.45">
      <c r="B40" s="27" t="s">
        <v>38</v>
      </c>
      <c r="C40" s="54" t="s">
        <v>49</v>
      </c>
      <c r="D40" s="15"/>
      <c r="E40" s="15"/>
      <c r="F40" s="15"/>
      <c r="G40" s="15"/>
      <c r="H40" s="15"/>
      <c r="I40" s="1"/>
      <c r="J40" s="38"/>
      <c r="K40" s="38"/>
      <c r="L40" s="1"/>
      <c r="M40" s="1"/>
      <c r="N40" s="1"/>
      <c r="O40" s="38"/>
      <c r="P40" s="38"/>
      <c r="Q40" s="38"/>
      <c r="R40" s="38"/>
      <c r="S40" s="38"/>
      <c r="T40" s="38"/>
      <c r="U40" s="28"/>
      <c r="V40" s="28"/>
      <c r="W40" s="28"/>
      <c r="AB40" s="15"/>
      <c r="AC40" s="15"/>
      <c r="AD40" s="16"/>
      <c r="AE40" s="15"/>
    </row>
    <row r="41" spans="1:47" x14ac:dyDescent="0.3">
      <c r="A41" s="3"/>
      <c r="B41" s="5" t="s">
        <v>85</v>
      </c>
      <c r="C41" s="5"/>
      <c r="D41" s="5"/>
      <c r="E41" s="5"/>
      <c r="F41" s="5"/>
      <c r="G41" s="5"/>
      <c r="H41" s="5"/>
      <c r="I41" s="1"/>
      <c r="J41" s="38"/>
      <c r="K41" s="38"/>
      <c r="L41" s="1"/>
      <c r="M41" s="1"/>
      <c r="N41" s="1"/>
      <c r="O41" s="38"/>
      <c r="P41" s="38"/>
      <c r="Q41" s="38"/>
      <c r="R41" s="38"/>
      <c r="S41" s="38"/>
      <c r="T41" s="38"/>
      <c r="U41" s="10"/>
      <c r="V41" s="10"/>
      <c r="W41" s="10"/>
      <c r="X41" s="3"/>
      <c r="Y41" s="3"/>
      <c r="Z41" s="3"/>
      <c r="AA41" s="3"/>
      <c r="AB41" s="5"/>
      <c r="AC41" s="5"/>
      <c r="AD41" s="6"/>
      <c r="AE41" s="5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2"/>
      <c r="AR41" s="2"/>
      <c r="AS41" s="2"/>
      <c r="AT41" s="2"/>
      <c r="AU41" s="2"/>
    </row>
    <row r="42" spans="1:47" x14ac:dyDescent="0.3">
      <c r="A42" s="3"/>
      <c r="B42" s="5" t="s">
        <v>5</v>
      </c>
      <c r="C42" s="5"/>
      <c r="D42" s="5"/>
      <c r="E42" s="5"/>
      <c r="F42" s="5"/>
      <c r="G42" s="5"/>
      <c r="H42" s="5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2"/>
      <c r="AR42" s="2"/>
      <c r="AS42" s="2"/>
      <c r="AT42" s="2"/>
      <c r="AU42" s="2"/>
    </row>
    <row r="43" spans="1:47" x14ac:dyDescent="0.3">
      <c r="A43" s="3"/>
      <c r="B43" s="1" t="s">
        <v>6</v>
      </c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2"/>
      <c r="AR43" s="2"/>
      <c r="AS43" s="2"/>
      <c r="AT43" s="2"/>
      <c r="AU43" s="2"/>
    </row>
    <row r="44" spans="1:47" x14ac:dyDescent="0.3">
      <c r="A44" s="3"/>
      <c r="B44" s="1" t="s">
        <v>7</v>
      </c>
      <c r="C44" s="5"/>
      <c r="D44" s="5"/>
      <c r="E44" s="5"/>
      <c r="F44" s="5"/>
      <c r="G44" s="5"/>
      <c r="H44" s="5"/>
      <c r="I44" s="5"/>
      <c r="J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2"/>
      <c r="AR44" s="2"/>
      <c r="AS44" s="2"/>
      <c r="AT44" s="2"/>
      <c r="AU44" s="2"/>
    </row>
    <row r="45" spans="1:47" x14ac:dyDescent="0.3">
      <c r="A45" s="3"/>
      <c r="B45" s="1"/>
      <c r="C45" s="1"/>
      <c r="D45" s="1"/>
      <c r="E45" s="1"/>
      <c r="F45" s="1"/>
      <c r="G45" s="1"/>
      <c r="H45" s="1"/>
      <c r="I45" s="1"/>
      <c r="J45" s="1"/>
      <c r="K45" s="2"/>
      <c r="L45" s="2"/>
      <c r="M45" s="2"/>
      <c r="N45" s="2"/>
      <c r="O45" s="2"/>
      <c r="P45" s="2"/>
      <c r="Q45" s="2"/>
      <c r="R45" s="2"/>
      <c r="S45" s="1"/>
      <c r="T45" s="1"/>
      <c r="U45" s="1"/>
      <c r="V45" s="1"/>
      <c r="W45" s="1"/>
      <c r="X45" s="1"/>
      <c r="Y45" s="1"/>
      <c r="Z45" s="5"/>
      <c r="AA45" s="5"/>
      <c r="AB45" s="5"/>
      <c r="AC45" s="5"/>
      <c r="AD45" s="5"/>
      <c r="AE45" s="5"/>
      <c r="AF45" s="5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2"/>
      <c r="AR45" s="2"/>
      <c r="AS45" s="2"/>
      <c r="AT45" s="2"/>
      <c r="AU45" s="2"/>
    </row>
    <row r="46" spans="1:47" x14ac:dyDescent="0.3">
      <c r="A46" s="3"/>
      <c r="B46" s="1"/>
      <c r="C46" s="1"/>
      <c r="D46" s="1"/>
      <c r="E46" s="1"/>
      <c r="F46" s="1"/>
      <c r="G46" s="1"/>
      <c r="H46" s="1"/>
      <c r="I46" s="1"/>
      <c r="J46" s="1"/>
      <c r="K46" s="2"/>
      <c r="L46" s="2"/>
      <c r="M46" s="2"/>
      <c r="N46" s="2"/>
      <c r="O46" s="2"/>
      <c r="P46" s="2"/>
      <c r="Q46" s="2"/>
      <c r="R46" s="2"/>
      <c r="S46" s="33"/>
      <c r="T46" s="33"/>
      <c r="U46" s="33"/>
      <c r="V46" s="96"/>
      <c r="W46" s="96"/>
      <c r="X46" s="33"/>
      <c r="Y46" s="33"/>
      <c r="Z46" s="8"/>
      <c r="AA46" s="6"/>
      <c r="AB46" s="8"/>
      <c r="AC46" s="5"/>
      <c r="AD46" s="5"/>
      <c r="AE46" s="5"/>
      <c r="AF46" s="5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2"/>
      <c r="AR46" s="2"/>
      <c r="AS46" s="2"/>
      <c r="AT46" s="2"/>
      <c r="AU46" s="2"/>
    </row>
    <row r="47" spans="1:47" x14ac:dyDescent="0.3">
      <c r="A47" s="3"/>
      <c r="B47" s="1"/>
      <c r="C47" s="1"/>
      <c r="D47" s="1"/>
      <c r="E47" s="1"/>
      <c r="F47" s="1"/>
      <c r="G47" s="1"/>
      <c r="H47" s="1"/>
      <c r="I47" s="1"/>
      <c r="J47" s="1"/>
      <c r="K47" s="2"/>
      <c r="L47" s="2"/>
      <c r="M47" s="2"/>
      <c r="N47" s="2"/>
      <c r="O47" s="2"/>
      <c r="P47" s="2"/>
      <c r="Q47" s="2"/>
      <c r="R47" s="2"/>
      <c r="S47" s="33"/>
      <c r="T47" s="33"/>
      <c r="U47" s="33"/>
      <c r="V47" s="96"/>
      <c r="W47" s="96"/>
      <c r="X47" s="33"/>
      <c r="Y47" s="33"/>
      <c r="Z47" s="8"/>
      <c r="AA47" s="6"/>
      <c r="AB47" s="8"/>
      <c r="AC47" s="5"/>
      <c r="AD47" s="5"/>
      <c r="AE47" s="5"/>
      <c r="AF47" s="5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2"/>
      <c r="AR47" s="2"/>
      <c r="AS47" s="2"/>
      <c r="AT47" s="2"/>
      <c r="AU47" s="2"/>
    </row>
    <row r="48" spans="1:47" x14ac:dyDescent="0.3">
      <c r="A48" s="3"/>
      <c r="B48" s="39"/>
      <c r="C48" s="39"/>
      <c r="D48" s="1"/>
      <c r="E48" s="1"/>
      <c r="F48" s="1"/>
      <c r="G48" s="1"/>
      <c r="H48" s="1"/>
      <c r="I48" s="1"/>
      <c r="J48" s="1"/>
      <c r="K48" s="2"/>
      <c r="L48" s="2"/>
      <c r="M48" s="2"/>
      <c r="N48" s="2"/>
      <c r="O48" s="2"/>
      <c r="P48" s="2"/>
      <c r="Q48" s="2"/>
      <c r="R48" s="2"/>
      <c r="S48" s="33"/>
      <c r="T48" s="33"/>
      <c r="U48" s="33"/>
      <c r="V48" s="33"/>
      <c r="W48" s="33"/>
      <c r="X48" s="33"/>
      <c r="Y48" s="33"/>
      <c r="AA48" s="6"/>
      <c r="AB48" s="8"/>
      <c r="AC48" s="5"/>
      <c r="AD48" s="5"/>
      <c r="AE48" s="5"/>
      <c r="AF48" s="5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2"/>
      <c r="AR48" s="2"/>
      <c r="AS48" s="2"/>
      <c r="AT48" s="2"/>
      <c r="AU48" s="2"/>
    </row>
    <row r="49" spans="1:47" x14ac:dyDescent="0.3">
      <c r="A49" s="3"/>
      <c r="B49" s="1"/>
      <c r="C49" s="1"/>
      <c r="D49" s="1"/>
      <c r="E49" s="1"/>
      <c r="F49" s="1"/>
      <c r="G49" s="1"/>
      <c r="H49" s="1"/>
      <c r="I49" s="1"/>
      <c r="J49" s="1"/>
      <c r="K49" s="2"/>
      <c r="L49" s="2"/>
      <c r="M49" s="2"/>
      <c r="N49" s="2"/>
      <c r="O49" s="2"/>
      <c r="P49" s="2"/>
      <c r="Q49" s="2"/>
      <c r="R49" s="2"/>
      <c r="S49" s="1"/>
      <c r="T49" s="1"/>
      <c r="U49" s="1"/>
      <c r="V49" s="1"/>
      <c r="W49" s="1"/>
      <c r="X49" s="1"/>
      <c r="Y49" s="1"/>
      <c r="Z49" s="9"/>
      <c r="AA49" s="5"/>
      <c r="AB49" s="9"/>
      <c r="AC49" s="5"/>
      <c r="AD49" s="5"/>
      <c r="AE49" s="5"/>
      <c r="AF49" s="5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2"/>
      <c r="AR49" s="2"/>
      <c r="AS49" s="2"/>
      <c r="AT49" s="2"/>
      <c r="AU49" s="2"/>
    </row>
    <row r="50" spans="1:47" x14ac:dyDescent="0.3">
      <c r="A50" s="2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6"/>
      <c r="R50" s="16"/>
      <c r="S50" s="16"/>
      <c r="T50" s="16"/>
      <c r="U50" s="16"/>
      <c r="V50" s="16"/>
      <c r="W50" s="16"/>
      <c r="X50" s="16"/>
      <c r="Y50" s="16"/>
      <c r="Z50" s="100"/>
      <c r="AA50" s="16"/>
      <c r="AB50" s="100"/>
      <c r="AC50" s="15"/>
      <c r="AD50" s="5"/>
      <c r="AE50" s="5"/>
      <c r="AF50" s="5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2"/>
      <c r="AR50" s="2"/>
      <c r="AS50" s="2"/>
      <c r="AT50" s="2"/>
      <c r="AU50" s="2"/>
    </row>
    <row r="51" spans="1:47" x14ac:dyDescent="0.3">
      <c r="A51" s="2"/>
      <c r="B51" s="11" t="s">
        <v>23</v>
      </c>
      <c r="C51" s="11" t="s">
        <v>24</v>
      </c>
      <c r="D51" s="11" t="s">
        <v>0</v>
      </c>
      <c r="E51" s="11" t="s">
        <v>30</v>
      </c>
      <c r="F51" s="11" t="s">
        <v>33</v>
      </c>
      <c r="G51" s="11" t="s">
        <v>34</v>
      </c>
      <c r="H51" s="11" t="s">
        <v>35</v>
      </c>
      <c r="I51" s="11" t="s">
        <v>32</v>
      </c>
      <c r="J51" s="11" t="s">
        <v>29</v>
      </c>
      <c r="K51" s="11" t="s">
        <v>32</v>
      </c>
      <c r="L51" s="11" t="s">
        <v>25</v>
      </c>
      <c r="M51" s="11"/>
      <c r="N51" s="11"/>
      <c r="O51" s="11" t="s">
        <v>26</v>
      </c>
      <c r="P51" s="11"/>
      <c r="Q51" s="11" t="s">
        <v>30</v>
      </c>
      <c r="R51" s="11" t="s">
        <v>44</v>
      </c>
      <c r="S51" s="11" t="s">
        <v>31</v>
      </c>
      <c r="T51" s="11" t="s">
        <v>51</v>
      </c>
      <c r="U51" s="16" t="s">
        <v>52</v>
      </c>
      <c r="V51" s="16" t="s">
        <v>71</v>
      </c>
      <c r="W51" s="16" t="s">
        <v>73</v>
      </c>
      <c r="X51" s="11" t="s">
        <v>72</v>
      </c>
      <c r="Y51" s="11"/>
      <c r="Z51" s="16" t="s">
        <v>25</v>
      </c>
      <c r="AA51" s="16" t="s">
        <v>26</v>
      </c>
      <c r="AB51" s="100" t="s">
        <v>74</v>
      </c>
      <c r="AC51" s="15" t="s">
        <v>32</v>
      </c>
      <c r="AD51" s="5"/>
      <c r="AE51" s="5"/>
      <c r="AF51" s="5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2"/>
      <c r="AR51" s="2"/>
      <c r="AS51" s="2"/>
      <c r="AT51" s="2"/>
      <c r="AU51" s="2"/>
    </row>
    <row r="52" spans="1:47" x14ac:dyDescent="0.3">
      <c r="A52" s="2"/>
      <c r="B52" s="12">
        <v>6100</v>
      </c>
      <c r="C52" s="11">
        <v>0</v>
      </c>
      <c r="D52" s="11">
        <f>C52*3.1415/180</f>
        <v>0</v>
      </c>
      <c r="E52" s="15">
        <f>D26</f>
        <v>5777.3291153713062</v>
      </c>
      <c r="F52" s="13">
        <f>B52*COS(D52)</f>
        <v>6100</v>
      </c>
      <c r="G52" s="13">
        <f>B52*SIN(D52)</f>
        <v>0</v>
      </c>
      <c r="H52" s="13">
        <f>B52*F5</f>
        <v>5519.0476190476193</v>
      </c>
      <c r="I52" s="13">
        <f>IF(G52&gt;H52,H52,G52)</f>
        <v>0</v>
      </c>
      <c r="J52" s="11">
        <f>D26*0.3</f>
        <v>1733.1987346113917</v>
      </c>
      <c r="K52" s="11">
        <f>IF(D52&gt;S52,S52,D52)</f>
        <v>0</v>
      </c>
      <c r="L52" s="11">
        <f>J52*COS(K52)</f>
        <v>1733.1987346113917</v>
      </c>
      <c r="M52" s="11"/>
      <c r="N52" s="11"/>
      <c r="O52" s="14">
        <f>J52*SIN(K52)</f>
        <v>0</v>
      </c>
      <c r="P52" s="14"/>
      <c r="Q52" s="15">
        <f>D26</f>
        <v>5777.3291153713062</v>
      </c>
      <c r="R52" s="15">
        <f>L52-Q52</f>
        <v>-4044.1303807599143</v>
      </c>
      <c r="S52" s="15">
        <f>J28</f>
        <v>0.30805278102377665</v>
      </c>
      <c r="T52" s="11">
        <f>900*COS(D52)-E52</f>
        <v>-4877.3291153713062</v>
      </c>
      <c r="U52" s="11">
        <f>900*SIN(D52)</f>
        <v>0</v>
      </c>
      <c r="V52" s="16">
        <f>0.3*D27</f>
        <v>1520.1158492437173</v>
      </c>
      <c r="W52" s="16">
        <f>J25</f>
        <v>-0.90975315794420941</v>
      </c>
      <c r="X52" s="16">
        <f>IF(W52&gt;0,1.571,1.571+W52)</f>
        <v>0.66124684205579054</v>
      </c>
      <c r="Y52" s="11">
        <f>IF(D52&gt;X52,C52,X52)</f>
        <v>0.66124684205579054</v>
      </c>
      <c r="Z52" s="16">
        <f>V52*COS(X52+AC52)</f>
        <v>1199.716711153045</v>
      </c>
      <c r="AA52" s="16">
        <f>V52*SIN(X52+AC52)</f>
        <v>933.505226606723</v>
      </c>
      <c r="AB52" s="100">
        <f>IF(W52&lt;0,-W52,W52)</f>
        <v>0.90975315794420941</v>
      </c>
      <c r="AC52" s="15">
        <f>IF(AB52&gt;D52,D52,AB52)</f>
        <v>0</v>
      </c>
      <c r="AD52" s="5"/>
      <c r="AE52" s="5"/>
      <c r="AF52" s="5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2"/>
      <c r="AR52" s="2"/>
      <c r="AS52" s="2"/>
      <c r="AT52" s="2"/>
      <c r="AU52" s="2"/>
    </row>
    <row r="53" spans="1:47" x14ac:dyDescent="0.3">
      <c r="A53" s="2"/>
      <c r="B53" s="12">
        <f>B52</f>
        <v>6100</v>
      </c>
      <c r="C53" s="11">
        <f>C52+5</f>
        <v>5</v>
      </c>
      <c r="D53" s="11">
        <f>C53*3.1415/180</f>
        <v>8.7263888888888891E-2</v>
      </c>
      <c r="E53" s="15">
        <f>E52</f>
        <v>5777.3291153713062</v>
      </c>
      <c r="F53" s="13">
        <f t="shared" ref="F53:F88" si="3">B53*COS(D53)</f>
        <v>6076.7890266529621</v>
      </c>
      <c r="G53" s="13">
        <f t="shared" ref="G53:G88" si="4">B53*SIN(D53)</f>
        <v>531.6343908647608</v>
      </c>
      <c r="H53" s="13">
        <f>H52</f>
        <v>5519.0476190476193</v>
      </c>
      <c r="I53" s="13">
        <f t="shared" ref="I53:I88" si="5">IF(G53&gt;H53,H53,G53)</f>
        <v>531.6343908647608</v>
      </c>
      <c r="J53" s="11">
        <f>J52</f>
        <v>1733.1987346113917</v>
      </c>
      <c r="K53" s="11">
        <f t="shared" ref="K53:K88" si="6">IF(D53&gt;S53,S53,D53)</f>
        <v>8.7263888888888891E-2</v>
      </c>
      <c r="L53" s="11">
        <f t="shared" ref="L53:L88" si="7">J53*COS(K53)</f>
        <v>1726.6037789336565</v>
      </c>
      <c r="M53" s="11"/>
      <c r="N53" s="11"/>
      <c r="O53" s="14">
        <f t="shared" ref="O53:O88" si="8">J53*SIN(K53)</f>
        <v>151.05377926601662</v>
      </c>
      <c r="P53" s="14"/>
      <c r="Q53" s="15">
        <f>Q52</f>
        <v>5777.3291153713062</v>
      </c>
      <c r="R53" s="15">
        <f t="shared" ref="R53:R88" si="9">L53-Q53</f>
        <v>-4050.7253364376497</v>
      </c>
      <c r="S53" s="15">
        <f>S52</f>
        <v>0.30805278102377665</v>
      </c>
      <c r="T53" s="11">
        <f t="shared" ref="T53:T69" si="10">900*COS(D53)-E53</f>
        <v>-4880.7536852093936</v>
      </c>
      <c r="U53" s="11">
        <f t="shared" ref="U53:U69" si="11">900*SIN(D53)</f>
        <v>78.437860947259793</v>
      </c>
      <c r="V53" s="16">
        <f>V52</f>
        <v>1520.1158492437173</v>
      </c>
      <c r="W53" s="16">
        <f>W52</f>
        <v>-0.90975315794420941</v>
      </c>
      <c r="X53" s="16">
        <f>X52</f>
        <v>0.66124684205579054</v>
      </c>
      <c r="Y53" s="11">
        <f>Y52</f>
        <v>0.66124684205579054</v>
      </c>
      <c r="Z53" s="16">
        <f t="shared" ref="Z53:Z88" si="12">V53*COS(X53+AC53)</f>
        <v>1113.7937480181752</v>
      </c>
      <c r="AA53" s="16">
        <f t="shared" ref="AA53:AA88" si="13">V53*SIN(X53+AC53)</f>
        <v>1034.5122918542697</v>
      </c>
      <c r="AB53" s="100">
        <f>AB52</f>
        <v>0.90975315794420941</v>
      </c>
      <c r="AC53" s="15">
        <f t="shared" ref="AC53:AC88" si="14">IF(AB53&gt;D53,D53,AB53)</f>
        <v>8.7263888888888891E-2</v>
      </c>
      <c r="AD53" s="5"/>
      <c r="AE53" s="5"/>
      <c r="AF53" s="5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2"/>
      <c r="AR53" s="2"/>
      <c r="AS53" s="2"/>
      <c r="AT53" s="2"/>
      <c r="AU53" s="2"/>
    </row>
    <row r="54" spans="1:47" x14ac:dyDescent="0.3">
      <c r="A54" s="2"/>
      <c r="B54" s="12">
        <f t="shared" ref="B54:B88" si="15">B53</f>
        <v>6100</v>
      </c>
      <c r="C54" s="11">
        <f t="shared" ref="C54:C88" si="16">C53+5</f>
        <v>10</v>
      </c>
      <c r="D54" s="11">
        <f t="shared" ref="D54:D88" si="17">C54*3.1415/180</f>
        <v>0.17452777777777778</v>
      </c>
      <c r="E54" s="15">
        <f t="shared" ref="E54:E88" si="18">E53</f>
        <v>5777.3291153713062</v>
      </c>
      <c r="F54" s="13">
        <f t="shared" si="3"/>
        <v>6007.3327457212645</v>
      </c>
      <c r="G54" s="13">
        <f t="shared" si="4"/>
        <v>1059.2229615076426</v>
      </c>
      <c r="H54" s="13">
        <f t="shared" ref="H54:H88" si="19">H53</f>
        <v>5519.0476190476193</v>
      </c>
      <c r="I54" s="13">
        <f t="shared" si="5"/>
        <v>1059.2229615076426</v>
      </c>
      <c r="J54" s="11">
        <f t="shared" ref="J54:J88" si="20">J53</f>
        <v>1733.1987346113917</v>
      </c>
      <c r="K54" s="11">
        <f t="shared" si="6"/>
        <v>0.17452777777777778</v>
      </c>
      <c r="L54" s="11">
        <f t="shared" si="7"/>
        <v>1706.8691005366677</v>
      </c>
      <c r="M54" s="11"/>
      <c r="N54" s="11"/>
      <c r="O54" s="14">
        <f t="shared" si="8"/>
        <v>300.95801582891426</v>
      </c>
      <c r="P54" s="14"/>
      <c r="Q54" s="15">
        <f t="shared" ref="Q54:Q88" si="21">Q53</f>
        <v>5777.3291153713062</v>
      </c>
      <c r="R54" s="15">
        <f t="shared" si="9"/>
        <v>-4070.4600148346385</v>
      </c>
      <c r="S54" s="15">
        <f t="shared" ref="S54:S88" si="22">S53</f>
        <v>0.30805278102377665</v>
      </c>
      <c r="T54" s="11">
        <f t="shared" si="10"/>
        <v>-4891.0013332157096</v>
      </c>
      <c r="U54" s="11">
        <f t="shared" si="11"/>
        <v>156.27879759948826</v>
      </c>
      <c r="V54" s="16">
        <f t="shared" ref="V54:V88" si="23">V53</f>
        <v>1520.1158492437173</v>
      </c>
      <c r="W54" s="16">
        <f t="shared" ref="W54:W87" si="24">W53</f>
        <v>-0.90975315794420941</v>
      </c>
      <c r="X54" s="16">
        <f t="shared" ref="X54:X88" si="25">X53</f>
        <v>0.66124684205579054</v>
      </c>
      <c r="Y54" s="11">
        <f t="shared" ref="Y54:Y88" si="26">Y53</f>
        <v>0.66124684205579054</v>
      </c>
      <c r="Z54" s="16">
        <f t="shared" si="12"/>
        <v>1019.3946416048312</v>
      </c>
      <c r="AA54" s="16">
        <f t="shared" si="13"/>
        <v>1127.6465580088939</v>
      </c>
      <c r="AB54" s="100">
        <f t="shared" ref="AB54:AB88" si="27">AB53</f>
        <v>0.90975315794420941</v>
      </c>
      <c r="AC54" s="15">
        <f t="shared" si="14"/>
        <v>0.17452777777777778</v>
      </c>
      <c r="AD54" s="5"/>
      <c r="AE54" s="5"/>
      <c r="AF54" s="5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2"/>
      <c r="AR54" s="2"/>
      <c r="AS54" s="2"/>
      <c r="AT54" s="2"/>
      <c r="AU54" s="2"/>
    </row>
    <row r="55" spans="1:47" x14ac:dyDescent="0.3">
      <c r="A55" s="2"/>
      <c r="B55" s="12">
        <f t="shared" si="15"/>
        <v>6100</v>
      </c>
      <c r="C55" s="11">
        <f t="shared" si="16"/>
        <v>15</v>
      </c>
      <c r="D55" s="11">
        <f t="shared" si="17"/>
        <v>0.2617916666666667</v>
      </c>
      <c r="E55" s="15">
        <f t="shared" si="18"/>
        <v>5777.3291153713062</v>
      </c>
      <c r="F55" s="13">
        <f t="shared" si="3"/>
        <v>5892.1597302821147</v>
      </c>
      <c r="G55" s="13">
        <f t="shared" si="4"/>
        <v>1578.7506810265495</v>
      </c>
      <c r="H55" s="13">
        <f t="shared" si="19"/>
        <v>5519.0476190476193</v>
      </c>
      <c r="I55" s="13">
        <f t="shared" si="5"/>
        <v>1578.7506810265495</v>
      </c>
      <c r="J55" s="11">
        <f t="shared" si="20"/>
        <v>1733.1987346113917</v>
      </c>
      <c r="K55" s="11">
        <f t="shared" si="6"/>
        <v>0.2617916666666667</v>
      </c>
      <c r="L55" s="11">
        <f t="shared" si="7"/>
        <v>1674.1448833857639</v>
      </c>
      <c r="M55" s="11"/>
      <c r="N55" s="11"/>
      <c r="O55" s="14">
        <f t="shared" si="8"/>
        <v>448.57191518394893</v>
      </c>
      <c r="P55" s="14"/>
      <c r="Q55" s="15">
        <f t="shared" si="21"/>
        <v>5777.3291153713062</v>
      </c>
      <c r="R55" s="15">
        <f t="shared" si="9"/>
        <v>-4103.1842319855423</v>
      </c>
      <c r="S55" s="15">
        <f t="shared" si="22"/>
        <v>0.30805278102377665</v>
      </c>
      <c r="T55" s="11">
        <f t="shared" si="10"/>
        <v>-4907.9940731985353</v>
      </c>
      <c r="U55" s="11">
        <f t="shared" si="11"/>
        <v>232.93042834817942</v>
      </c>
      <c r="V55" s="16">
        <f t="shared" si="23"/>
        <v>1520.1158492437173</v>
      </c>
      <c r="W55" s="16">
        <f t="shared" si="24"/>
        <v>-0.90975315794420941</v>
      </c>
      <c r="X55" s="16">
        <f t="shared" si="25"/>
        <v>0.66124684205579054</v>
      </c>
      <c r="Y55" s="11">
        <f t="shared" si="26"/>
        <v>0.66124684205579054</v>
      </c>
      <c r="Z55" s="16">
        <f t="shared" si="12"/>
        <v>917.23778376315795</v>
      </c>
      <c r="AA55" s="16">
        <f t="shared" si="13"/>
        <v>1212.1992588511175</v>
      </c>
      <c r="AB55" s="100">
        <f t="shared" si="27"/>
        <v>0.90975315794420941</v>
      </c>
      <c r="AC55" s="15">
        <f t="shared" si="14"/>
        <v>0.2617916666666667</v>
      </c>
      <c r="AD55" s="5"/>
      <c r="AE55" s="5"/>
      <c r="AF55" s="5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2"/>
      <c r="AR55" s="2"/>
      <c r="AS55" s="2"/>
      <c r="AT55" s="2"/>
      <c r="AU55" s="2"/>
    </row>
    <row r="56" spans="1:47" x14ac:dyDescent="0.3">
      <c r="A56" s="2"/>
      <c r="B56" s="12">
        <f t="shared" si="15"/>
        <v>6100</v>
      </c>
      <c r="C56" s="11">
        <f t="shared" si="16"/>
        <v>20</v>
      </c>
      <c r="D56" s="11">
        <f t="shared" si="17"/>
        <v>0.34905555555555556</v>
      </c>
      <c r="E56" s="15">
        <f t="shared" si="18"/>
        <v>5777.3291153713062</v>
      </c>
      <c r="F56" s="13">
        <f t="shared" si="3"/>
        <v>5732.1464648573701</v>
      </c>
      <c r="G56" s="13">
        <f t="shared" si="4"/>
        <v>2086.2638628474479</v>
      </c>
      <c r="H56" s="13">
        <f t="shared" si="19"/>
        <v>5519.0476190476193</v>
      </c>
      <c r="I56" s="13">
        <f t="shared" si="5"/>
        <v>2086.2638628474479</v>
      </c>
      <c r="J56" s="11">
        <f t="shared" si="20"/>
        <v>1733.1987346113917</v>
      </c>
      <c r="K56" s="11">
        <f t="shared" si="6"/>
        <v>0.30805278102377665</v>
      </c>
      <c r="L56" s="11">
        <f t="shared" si="7"/>
        <v>1651.6097560975591</v>
      </c>
      <c r="M56" s="11"/>
      <c r="N56" s="11"/>
      <c r="O56" s="14">
        <f t="shared" si="8"/>
        <v>525.51219512195098</v>
      </c>
      <c r="P56" s="14"/>
      <c r="Q56" s="15">
        <f t="shared" si="21"/>
        <v>5777.3291153713062</v>
      </c>
      <c r="R56" s="15">
        <f t="shared" si="9"/>
        <v>-4125.7193592737476</v>
      </c>
      <c r="S56" s="15">
        <f t="shared" si="22"/>
        <v>0.30805278102377665</v>
      </c>
      <c r="T56" s="11">
        <f t="shared" si="10"/>
        <v>-4931.6025877693992</v>
      </c>
      <c r="U56" s="11">
        <f t="shared" si="11"/>
        <v>307.80942238732837</v>
      </c>
      <c r="V56" s="16">
        <f t="shared" si="23"/>
        <v>1520.1158492437173</v>
      </c>
      <c r="W56" s="16">
        <f t="shared" si="24"/>
        <v>-0.90975315794420941</v>
      </c>
      <c r="X56" s="16">
        <f t="shared" si="25"/>
        <v>0.66124684205579054</v>
      </c>
      <c r="Y56" s="11">
        <f t="shared" si="26"/>
        <v>0.66124684205579054</v>
      </c>
      <c r="Z56" s="16">
        <f t="shared" si="12"/>
        <v>808.10060403564148</v>
      </c>
      <c r="AA56" s="16">
        <f t="shared" si="13"/>
        <v>1287.5269352053103</v>
      </c>
      <c r="AB56" s="100">
        <f t="shared" si="27"/>
        <v>0.90975315794420941</v>
      </c>
      <c r="AC56" s="15">
        <f t="shared" si="14"/>
        <v>0.34905555555555556</v>
      </c>
      <c r="AD56" s="5"/>
      <c r="AE56" s="5"/>
      <c r="AF56" s="5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2"/>
      <c r="AR56" s="2"/>
      <c r="AS56" s="2"/>
      <c r="AT56" s="2"/>
      <c r="AU56" s="2"/>
    </row>
    <row r="57" spans="1:47" x14ac:dyDescent="0.3">
      <c r="A57" s="2"/>
      <c r="B57" s="12">
        <f t="shared" si="15"/>
        <v>6100</v>
      </c>
      <c r="C57" s="11">
        <f t="shared" si="16"/>
        <v>25</v>
      </c>
      <c r="D57" s="11">
        <f t="shared" si="17"/>
        <v>0.43631944444444448</v>
      </c>
      <c r="E57" s="15">
        <f t="shared" si="18"/>
        <v>5777.3291153713062</v>
      </c>
      <c r="F57" s="13">
        <f t="shared" si="3"/>
        <v>5528.51067523029</v>
      </c>
      <c r="G57" s="13">
        <f t="shared" si="4"/>
        <v>2577.9002528927922</v>
      </c>
      <c r="H57" s="13">
        <f t="shared" si="19"/>
        <v>5519.0476190476193</v>
      </c>
      <c r="I57" s="13">
        <f t="shared" si="5"/>
        <v>2577.9002528927922</v>
      </c>
      <c r="J57" s="11">
        <f t="shared" si="20"/>
        <v>1733.1987346113917</v>
      </c>
      <c r="K57" s="11">
        <f t="shared" si="6"/>
        <v>0.30805278102377665</v>
      </c>
      <c r="L57" s="11">
        <f t="shared" si="7"/>
        <v>1651.6097560975591</v>
      </c>
      <c r="M57" s="11"/>
      <c r="N57" s="11"/>
      <c r="O57" s="14">
        <f t="shared" si="8"/>
        <v>525.51219512195098</v>
      </c>
      <c r="P57" s="14"/>
      <c r="Q57" s="15">
        <f t="shared" si="21"/>
        <v>5777.3291153713062</v>
      </c>
      <c r="R57" s="15">
        <f t="shared" si="9"/>
        <v>-4125.7193592737476</v>
      </c>
      <c r="S57" s="15">
        <f t="shared" si="22"/>
        <v>0.30805278102377665</v>
      </c>
      <c r="T57" s="11">
        <f t="shared" si="10"/>
        <v>-4961.6472124684769</v>
      </c>
      <c r="U57" s="11">
        <f t="shared" si="11"/>
        <v>380.34593895139557</v>
      </c>
      <c r="V57" s="16">
        <f t="shared" si="23"/>
        <v>1520.1158492437173</v>
      </c>
      <c r="W57" s="16">
        <f t="shared" si="24"/>
        <v>-0.90975315794420941</v>
      </c>
      <c r="X57" s="16">
        <f t="shared" si="25"/>
        <v>0.66124684205579054</v>
      </c>
      <c r="Y57" s="11">
        <f t="shared" si="26"/>
        <v>0.66124684205579054</v>
      </c>
      <c r="Z57" s="16">
        <f t="shared" si="12"/>
        <v>692.81365329763412</v>
      </c>
      <c r="AA57" s="16">
        <f t="shared" si="13"/>
        <v>1353.0563317638826</v>
      </c>
      <c r="AB57" s="100">
        <f t="shared" si="27"/>
        <v>0.90975315794420941</v>
      </c>
      <c r="AC57" s="15">
        <f t="shared" si="14"/>
        <v>0.43631944444444448</v>
      </c>
      <c r="AD57" s="5"/>
      <c r="AE57" s="5"/>
      <c r="AF57" s="5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2"/>
      <c r="AR57" s="2"/>
      <c r="AS57" s="2"/>
      <c r="AT57" s="2"/>
      <c r="AU57" s="2"/>
    </row>
    <row r="58" spans="1:47" x14ac:dyDescent="0.3">
      <c r="A58" s="2"/>
      <c r="B58" s="12">
        <f t="shared" si="15"/>
        <v>6100</v>
      </c>
      <c r="C58" s="11">
        <f t="shared" si="16"/>
        <v>30</v>
      </c>
      <c r="D58" s="11">
        <f t="shared" si="17"/>
        <v>0.5235833333333334</v>
      </c>
      <c r="E58" s="15">
        <f t="shared" si="18"/>
        <v>5777.3291153713062</v>
      </c>
      <c r="F58" s="13">
        <f t="shared" si="3"/>
        <v>5282.8020613633462</v>
      </c>
      <c r="G58" s="13">
        <f t="shared" si="4"/>
        <v>3049.9184219344588</v>
      </c>
      <c r="H58" s="13">
        <f t="shared" si="19"/>
        <v>5519.0476190476193</v>
      </c>
      <c r="I58" s="13">
        <f t="shared" si="5"/>
        <v>3049.9184219344588</v>
      </c>
      <c r="J58" s="11">
        <f t="shared" si="20"/>
        <v>1733.1987346113917</v>
      </c>
      <c r="K58" s="11">
        <f t="shared" si="6"/>
        <v>0.30805278102377665</v>
      </c>
      <c r="L58" s="11">
        <f t="shared" si="7"/>
        <v>1651.6097560975591</v>
      </c>
      <c r="M58" s="11"/>
      <c r="N58" s="11"/>
      <c r="O58" s="14">
        <f t="shared" si="8"/>
        <v>525.51219512195098</v>
      </c>
      <c r="P58" s="14"/>
      <c r="Q58" s="15">
        <f t="shared" si="21"/>
        <v>5777.3291153713062</v>
      </c>
      <c r="R58" s="15">
        <f t="shared" si="9"/>
        <v>-4125.7193592737476</v>
      </c>
      <c r="S58" s="15">
        <f t="shared" si="22"/>
        <v>0.30805278102377665</v>
      </c>
      <c r="T58" s="11">
        <f t="shared" si="10"/>
        <v>-4997.8993030390093</v>
      </c>
      <c r="U58" s="11">
        <f t="shared" si="11"/>
        <v>449.98796389196929</v>
      </c>
      <c r="V58" s="16">
        <f t="shared" si="23"/>
        <v>1520.1158492437173</v>
      </c>
      <c r="W58" s="16">
        <f t="shared" si="24"/>
        <v>-0.90975315794420941</v>
      </c>
      <c r="X58" s="16">
        <f t="shared" si="25"/>
        <v>0.66124684205579054</v>
      </c>
      <c r="Y58" s="11">
        <f t="shared" si="26"/>
        <v>0.66124684205579054</v>
      </c>
      <c r="Z58" s="16">
        <f t="shared" si="12"/>
        <v>572.25428313629743</v>
      </c>
      <c r="AA58" s="16">
        <f t="shared" si="13"/>
        <v>1408.2887596491389</v>
      </c>
      <c r="AB58" s="100">
        <f t="shared" si="27"/>
        <v>0.90975315794420941</v>
      </c>
      <c r="AC58" s="15">
        <f t="shared" si="14"/>
        <v>0.5235833333333334</v>
      </c>
      <c r="AD58" s="5"/>
      <c r="AE58" s="5"/>
      <c r="AF58" s="5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2"/>
      <c r="AR58" s="2"/>
      <c r="AS58" s="2"/>
      <c r="AT58" s="2"/>
      <c r="AU58" s="2"/>
    </row>
    <row r="59" spans="1:47" x14ac:dyDescent="0.3">
      <c r="A59" s="2"/>
      <c r="B59" s="12">
        <f t="shared" si="15"/>
        <v>6100</v>
      </c>
      <c r="C59" s="11">
        <f t="shared" si="16"/>
        <v>35</v>
      </c>
      <c r="D59" s="11">
        <f t="shared" si="17"/>
        <v>0.61084722222222221</v>
      </c>
      <c r="E59" s="15">
        <f t="shared" si="18"/>
        <v>5777.3291153713062</v>
      </c>
      <c r="F59" s="13">
        <f t="shared" si="3"/>
        <v>4996.8905039409992</v>
      </c>
      <c r="G59" s="13">
        <f t="shared" si="4"/>
        <v>3498.7262384508267</v>
      </c>
      <c r="H59" s="13">
        <f t="shared" si="19"/>
        <v>5519.0476190476193</v>
      </c>
      <c r="I59" s="13">
        <f t="shared" si="5"/>
        <v>3498.7262384508267</v>
      </c>
      <c r="J59" s="11">
        <f t="shared" si="20"/>
        <v>1733.1987346113917</v>
      </c>
      <c r="K59" s="11">
        <f t="shared" si="6"/>
        <v>0.30805278102377665</v>
      </c>
      <c r="L59" s="11">
        <f t="shared" si="7"/>
        <v>1651.6097560975591</v>
      </c>
      <c r="M59" s="11"/>
      <c r="N59" s="11"/>
      <c r="O59" s="14">
        <f t="shared" si="8"/>
        <v>525.51219512195098</v>
      </c>
      <c r="P59" s="14"/>
      <c r="Q59" s="15">
        <f t="shared" si="21"/>
        <v>5777.3291153713062</v>
      </c>
      <c r="R59" s="15">
        <f t="shared" si="9"/>
        <v>-4125.7193592737476</v>
      </c>
      <c r="S59" s="15">
        <f t="shared" si="22"/>
        <v>0.30805278102377665</v>
      </c>
      <c r="T59" s="11">
        <f t="shared" si="10"/>
        <v>-5040.0829754455854</v>
      </c>
      <c r="U59" s="11">
        <f t="shared" si="11"/>
        <v>516.20551059110562</v>
      </c>
      <c r="V59" s="16">
        <f t="shared" si="23"/>
        <v>1520.1158492437173</v>
      </c>
      <c r="W59" s="16">
        <f t="shared" si="24"/>
        <v>-0.90975315794420941</v>
      </c>
      <c r="X59" s="16">
        <f t="shared" si="25"/>
        <v>0.66124684205579054</v>
      </c>
      <c r="Y59" s="11">
        <f t="shared" si="26"/>
        <v>0.66124684205579054</v>
      </c>
      <c r="Z59" s="16">
        <f t="shared" si="12"/>
        <v>447.33996906886068</v>
      </c>
      <c r="AA59" s="16">
        <f t="shared" si="13"/>
        <v>1452.8038915130351</v>
      </c>
      <c r="AB59" s="100">
        <f t="shared" si="27"/>
        <v>0.90975315794420941</v>
      </c>
      <c r="AC59" s="15">
        <f t="shared" si="14"/>
        <v>0.61084722222222221</v>
      </c>
      <c r="AD59" s="5"/>
      <c r="AE59" s="5"/>
      <c r="AF59" s="5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2"/>
      <c r="AR59" s="2"/>
      <c r="AS59" s="2"/>
      <c r="AT59" s="2"/>
      <c r="AU59" s="2"/>
    </row>
    <row r="60" spans="1:47" x14ac:dyDescent="0.3">
      <c r="A60" s="2"/>
      <c r="B60" s="12">
        <f t="shared" si="15"/>
        <v>6100</v>
      </c>
      <c r="C60" s="11">
        <f t="shared" si="16"/>
        <v>40</v>
      </c>
      <c r="D60" s="11">
        <f t="shared" si="17"/>
        <v>0.69811111111111113</v>
      </c>
      <c r="E60" s="15">
        <f t="shared" si="18"/>
        <v>5777.3291153713062</v>
      </c>
      <c r="F60" s="13">
        <f t="shared" si="3"/>
        <v>4672.9518342874899</v>
      </c>
      <c r="G60" s="13">
        <f t="shared" si="4"/>
        <v>3920.9082053051407</v>
      </c>
      <c r="H60" s="13">
        <f t="shared" si="19"/>
        <v>5519.0476190476193</v>
      </c>
      <c r="I60" s="13">
        <f t="shared" si="5"/>
        <v>3920.9082053051407</v>
      </c>
      <c r="J60" s="11">
        <f t="shared" si="20"/>
        <v>1733.1987346113917</v>
      </c>
      <c r="K60" s="11">
        <f t="shared" si="6"/>
        <v>0.30805278102377665</v>
      </c>
      <c r="L60" s="11">
        <f t="shared" si="7"/>
        <v>1651.6097560975591</v>
      </c>
      <c r="M60" s="11"/>
      <c r="N60" s="11"/>
      <c r="O60" s="14">
        <f t="shared" si="8"/>
        <v>525.51219512195098</v>
      </c>
      <c r="P60" s="14"/>
      <c r="Q60" s="15">
        <f t="shared" si="21"/>
        <v>5777.3291153713062</v>
      </c>
      <c r="R60" s="15">
        <f t="shared" si="9"/>
        <v>-4125.7193592737476</v>
      </c>
      <c r="S60" s="15">
        <f t="shared" si="22"/>
        <v>0.30805278102377665</v>
      </c>
      <c r="T60" s="11">
        <f t="shared" si="10"/>
        <v>-5087.8772053944631</v>
      </c>
      <c r="U60" s="11">
        <f t="shared" si="11"/>
        <v>578.49465324174207</v>
      </c>
      <c r="V60" s="16">
        <f t="shared" si="23"/>
        <v>1520.1158492437173</v>
      </c>
      <c r="W60" s="16">
        <f t="shared" si="24"/>
        <v>-0.90975315794420941</v>
      </c>
      <c r="X60" s="16">
        <f t="shared" si="25"/>
        <v>0.66124684205579054</v>
      </c>
      <c r="Y60" s="11">
        <f t="shared" si="26"/>
        <v>0.66124684205579054</v>
      </c>
      <c r="Z60" s="16">
        <f t="shared" si="12"/>
        <v>319.02132841154793</v>
      </c>
      <c r="AA60" s="16">
        <f t="shared" si="13"/>
        <v>1486.2629602935274</v>
      </c>
      <c r="AB60" s="100">
        <f t="shared" si="27"/>
        <v>0.90975315794420941</v>
      </c>
      <c r="AC60" s="15">
        <f t="shared" si="14"/>
        <v>0.69811111111111113</v>
      </c>
      <c r="AD60" s="5"/>
      <c r="AE60" s="5"/>
      <c r="AF60" s="5"/>
      <c r="AG60" s="3"/>
      <c r="AH60" s="3"/>
      <c r="AI60" s="3"/>
      <c r="AJ60" s="3"/>
      <c r="AK60" s="3"/>
      <c r="AL60" s="3"/>
      <c r="AM60" s="3"/>
      <c r="AN60" s="3"/>
      <c r="AO60" s="3"/>
      <c r="AP60" s="3"/>
    </row>
    <row r="61" spans="1:47" x14ac:dyDescent="0.3">
      <c r="A61" s="2"/>
      <c r="B61" s="12">
        <f t="shared" si="15"/>
        <v>6100</v>
      </c>
      <c r="C61" s="11">
        <f t="shared" si="16"/>
        <v>45</v>
      </c>
      <c r="D61" s="11">
        <f t="shared" si="17"/>
        <v>0.78537500000000005</v>
      </c>
      <c r="E61" s="15">
        <f t="shared" si="18"/>
        <v>5777.3291153713062</v>
      </c>
      <c r="F61" s="13">
        <f t="shared" si="3"/>
        <v>4313.4512759527888</v>
      </c>
      <c r="G61" s="13">
        <f t="shared" si="4"/>
        <v>4313.2514522087931</v>
      </c>
      <c r="H61" s="13">
        <f t="shared" si="19"/>
        <v>5519.0476190476193</v>
      </c>
      <c r="I61" s="13">
        <f t="shared" si="5"/>
        <v>4313.2514522087931</v>
      </c>
      <c r="J61" s="11">
        <f t="shared" si="20"/>
        <v>1733.1987346113917</v>
      </c>
      <c r="K61" s="11">
        <f t="shared" si="6"/>
        <v>0.30805278102377665</v>
      </c>
      <c r="L61" s="11">
        <f t="shared" si="7"/>
        <v>1651.6097560975591</v>
      </c>
      <c r="M61" s="11"/>
      <c r="N61" s="11"/>
      <c r="O61" s="14">
        <f t="shared" si="8"/>
        <v>525.51219512195098</v>
      </c>
      <c r="P61" s="14"/>
      <c r="Q61" s="15">
        <f t="shared" si="21"/>
        <v>5777.3291153713062</v>
      </c>
      <c r="R61" s="15">
        <f t="shared" si="9"/>
        <v>-4125.7193592737476</v>
      </c>
      <c r="S61" s="15">
        <f t="shared" si="22"/>
        <v>0.30805278102377665</v>
      </c>
      <c r="T61" s="11">
        <f t="shared" si="10"/>
        <v>-5140.918271378272</v>
      </c>
      <c r="U61" s="11">
        <f t="shared" si="11"/>
        <v>636.38136180129732</v>
      </c>
      <c r="V61" s="16">
        <f t="shared" si="23"/>
        <v>1520.1158492437173</v>
      </c>
      <c r="W61" s="16">
        <f t="shared" si="24"/>
        <v>-0.90975315794420941</v>
      </c>
      <c r="X61" s="16">
        <f t="shared" si="25"/>
        <v>0.66124684205579054</v>
      </c>
      <c r="Y61" s="11">
        <f t="shared" si="26"/>
        <v>0.66124684205579054</v>
      </c>
      <c r="Z61" s="16">
        <f t="shared" si="12"/>
        <v>188.27488593426864</v>
      </c>
      <c r="AA61" s="16">
        <f t="shared" si="13"/>
        <v>1508.4113372844909</v>
      </c>
      <c r="AB61" s="100">
        <f t="shared" si="27"/>
        <v>0.90975315794420941</v>
      </c>
      <c r="AC61" s="15">
        <f t="shared" si="14"/>
        <v>0.78537500000000005</v>
      </c>
      <c r="AD61" s="5"/>
      <c r="AE61" s="5"/>
      <c r="AF61" s="5"/>
      <c r="AG61" s="3"/>
      <c r="AH61" s="3"/>
      <c r="AI61" s="3"/>
      <c r="AJ61" s="3"/>
      <c r="AK61" s="3"/>
      <c r="AL61" s="3"/>
      <c r="AM61" s="3"/>
      <c r="AN61" s="3"/>
      <c r="AO61" s="3"/>
      <c r="AP61" s="3"/>
    </row>
    <row r="62" spans="1:47" x14ac:dyDescent="0.3">
      <c r="A62" s="2"/>
      <c r="B62" s="12">
        <f t="shared" si="15"/>
        <v>6100</v>
      </c>
      <c r="C62" s="11">
        <f t="shared" si="16"/>
        <v>50</v>
      </c>
      <c r="D62" s="11">
        <f t="shared" si="17"/>
        <v>0.87263888888888896</v>
      </c>
      <c r="E62" s="15">
        <f t="shared" si="18"/>
        <v>5777.3291153713062</v>
      </c>
      <c r="F62" s="13">
        <f t="shared" si="3"/>
        <v>3921.1246839787796</v>
      </c>
      <c r="G62" s="13">
        <f t="shared" si="4"/>
        <v>4672.7701861628411</v>
      </c>
      <c r="H62" s="13">
        <f t="shared" si="19"/>
        <v>5519.0476190476193</v>
      </c>
      <c r="I62" s="13">
        <f t="shared" si="5"/>
        <v>4672.7701861628411</v>
      </c>
      <c r="J62" s="11">
        <f t="shared" si="20"/>
        <v>1733.1987346113917</v>
      </c>
      <c r="K62" s="11">
        <f t="shared" si="6"/>
        <v>0.30805278102377665</v>
      </c>
      <c r="L62" s="11">
        <f t="shared" si="7"/>
        <v>1651.6097560975591</v>
      </c>
      <c r="M62" s="11"/>
      <c r="N62" s="11"/>
      <c r="O62" s="14">
        <f t="shared" si="8"/>
        <v>525.51219512195098</v>
      </c>
      <c r="P62" s="14"/>
      <c r="Q62" s="15">
        <f t="shared" si="21"/>
        <v>5777.3291153713062</v>
      </c>
      <c r="R62" s="15">
        <f t="shared" si="9"/>
        <v>-4125.7193592737476</v>
      </c>
      <c r="S62" s="15">
        <f t="shared" si="22"/>
        <v>0.30805278102377665</v>
      </c>
      <c r="T62" s="11">
        <f t="shared" si="10"/>
        <v>-5198.8025226531254</v>
      </c>
      <c r="U62" s="11">
        <f t="shared" si="11"/>
        <v>689.42510943386185</v>
      </c>
      <c r="V62" s="16">
        <f t="shared" si="23"/>
        <v>1520.1158492437173</v>
      </c>
      <c r="W62" s="16">
        <f t="shared" si="24"/>
        <v>-0.90975315794420941</v>
      </c>
      <c r="X62" s="16">
        <f t="shared" si="25"/>
        <v>0.66124684205579054</v>
      </c>
      <c r="Y62" s="11">
        <f t="shared" si="26"/>
        <v>0.66124684205579054</v>
      </c>
      <c r="Z62" s="16">
        <f t="shared" si="12"/>
        <v>56.095642355567371</v>
      </c>
      <c r="AA62" s="16">
        <f t="shared" si="13"/>
        <v>1519.0804698996903</v>
      </c>
      <c r="AB62" s="100">
        <f t="shared" si="27"/>
        <v>0.90975315794420941</v>
      </c>
      <c r="AC62" s="15">
        <f t="shared" si="14"/>
        <v>0.87263888888888896</v>
      </c>
      <c r="AD62" s="5"/>
      <c r="AE62" s="5"/>
      <c r="AF62" s="5"/>
      <c r="AG62" s="3"/>
      <c r="AH62" s="3"/>
      <c r="AI62" s="3"/>
      <c r="AJ62" s="3"/>
      <c r="AK62" s="3"/>
      <c r="AL62" s="3"/>
      <c r="AM62" s="3"/>
      <c r="AN62" s="3"/>
      <c r="AO62" s="3"/>
      <c r="AP62" s="3"/>
    </row>
    <row r="63" spans="1:47" x14ac:dyDescent="0.3">
      <c r="A63" s="2"/>
      <c r="B63" s="12">
        <f t="shared" si="15"/>
        <v>6100</v>
      </c>
      <c r="C63" s="11">
        <f t="shared" si="16"/>
        <v>55</v>
      </c>
      <c r="D63" s="11">
        <f t="shared" si="17"/>
        <v>0.95990277777777777</v>
      </c>
      <c r="E63" s="15">
        <f t="shared" si="18"/>
        <v>5777.3291153713062</v>
      </c>
      <c r="F63" s="13">
        <f t="shared" si="3"/>
        <v>3498.9577246178064</v>
      </c>
      <c r="G63" s="13">
        <f t="shared" si="4"/>
        <v>4996.7284138061159</v>
      </c>
      <c r="H63" s="13">
        <f t="shared" si="19"/>
        <v>5519.0476190476193</v>
      </c>
      <c r="I63" s="13">
        <f t="shared" si="5"/>
        <v>4996.7284138061159</v>
      </c>
      <c r="J63" s="11">
        <f t="shared" si="20"/>
        <v>1733.1987346113917</v>
      </c>
      <c r="K63" s="11">
        <f t="shared" si="6"/>
        <v>0.30805278102377665</v>
      </c>
      <c r="L63" s="11">
        <f t="shared" si="7"/>
        <v>1651.6097560975591</v>
      </c>
      <c r="M63" s="11"/>
      <c r="N63" s="11"/>
      <c r="O63" s="14">
        <f t="shared" si="8"/>
        <v>525.51219512195098</v>
      </c>
      <c r="P63" s="14"/>
      <c r="Q63" s="15">
        <f t="shared" si="21"/>
        <v>5777.3291153713062</v>
      </c>
      <c r="R63" s="15">
        <f t="shared" si="9"/>
        <v>-4125.7193592737476</v>
      </c>
      <c r="S63" s="15">
        <f t="shared" si="22"/>
        <v>0.30805278102377665</v>
      </c>
      <c r="T63" s="11">
        <f t="shared" si="10"/>
        <v>-5261.0894510834332</v>
      </c>
      <c r="U63" s="11">
        <f t="shared" si="11"/>
        <v>737.22222498778751</v>
      </c>
      <c r="V63" s="16">
        <f t="shared" si="23"/>
        <v>1520.1158492437173</v>
      </c>
      <c r="W63" s="16">
        <f t="shared" si="24"/>
        <v>-0.90975315794420941</v>
      </c>
      <c r="X63" s="16">
        <f t="shared" si="25"/>
        <v>0.66124684205579054</v>
      </c>
      <c r="Y63" s="11">
        <f t="shared" si="26"/>
        <v>0.66124684205579054</v>
      </c>
      <c r="Z63" s="16">
        <f t="shared" si="12"/>
        <v>-0.30960686500328394</v>
      </c>
      <c r="AA63" s="16">
        <f t="shared" si="13"/>
        <v>1520.1158177144059</v>
      </c>
      <c r="AB63" s="100">
        <f t="shared" si="27"/>
        <v>0.90975315794420941</v>
      </c>
      <c r="AC63" s="15">
        <f t="shared" si="14"/>
        <v>0.90975315794420941</v>
      </c>
      <c r="AD63" s="5"/>
      <c r="AE63" s="5"/>
      <c r="AF63" s="5"/>
      <c r="AG63" s="3"/>
      <c r="AH63" s="3"/>
      <c r="AI63" s="3"/>
      <c r="AJ63" s="3"/>
      <c r="AK63" s="3"/>
      <c r="AL63" s="3"/>
      <c r="AM63" s="3"/>
      <c r="AN63" s="3"/>
      <c r="AO63" s="3"/>
      <c r="AP63" s="3"/>
    </row>
    <row r="64" spans="1:47" x14ac:dyDescent="0.3">
      <c r="A64" s="2"/>
      <c r="B64" s="12">
        <f t="shared" si="15"/>
        <v>6100</v>
      </c>
      <c r="C64" s="11">
        <f t="shared" si="16"/>
        <v>60</v>
      </c>
      <c r="D64" s="11">
        <f t="shared" si="17"/>
        <v>1.0471666666666668</v>
      </c>
      <c r="E64" s="15">
        <f t="shared" si="18"/>
        <v>5777.3291153713062</v>
      </c>
      <c r="F64" s="13">
        <f t="shared" si="3"/>
        <v>3050.1631539491218</v>
      </c>
      <c r="G64" s="13">
        <f t="shared" si="4"/>
        <v>5282.6607627493122</v>
      </c>
      <c r="H64" s="13">
        <f t="shared" si="19"/>
        <v>5519.0476190476193</v>
      </c>
      <c r="I64" s="13">
        <f t="shared" si="5"/>
        <v>5282.6607627493122</v>
      </c>
      <c r="J64" s="11">
        <f t="shared" si="20"/>
        <v>1733.1987346113917</v>
      </c>
      <c r="K64" s="11">
        <f t="shared" si="6"/>
        <v>0.30805278102377665</v>
      </c>
      <c r="L64" s="11">
        <f t="shared" si="7"/>
        <v>1651.6097560975591</v>
      </c>
      <c r="M64" s="11"/>
      <c r="N64" s="11"/>
      <c r="O64" s="14">
        <f t="shared" si="8"/>
        <v>525.51219512195098</v>
      </c>
      <c r="P64" s="14"/>
      <c r="Q64" s="15">
        <f t="shared" si="21"/>
        <v>5777.3291153713062</v>
      </c>
      <c r="R64" s="15">
        <f t="shared" si="9"/>
        <v>-4125.7193592737476</v>
      </c>
      <c r="S64" s="15">
        <f t="shared" si="22"/>
        <v>0.30805278102377665</v>
      </c>
      <c r="T64" s="11">
        <f t="shared" si="10"/>
        <v>-5327.305043477174</v>
      </c>
      <c r="U64" s="11">
        <f t="shared" si="11"/>
        <v>779.40896499580026</v>
      </c>
      <c r="V64" s="16">
        <f t="shared" si="23"/>
        <v>1520.1158492437173</v>
      </c>
      <c r="W64" s="16">
        <f t="shared" si="24"/>
        <v>-0.90975315794420941</v>
      </c>
      <c r="X64" s="16">
        <f t="shared" si="25"/>
        <v>0.66124684205579054</v>
      </c>
      <c r="Y64" s="11">
        <f t="shared" si="26"/>
        <v>0.66124684205579054</v>
      </c>
      <c r="Z64" s="16">
        <f t="shared" si="12"/>
        <v>-0.30960686500328394</v>
      </c>
      <c r="AA64" s="16">
        <f t="shared" si="13"/>
        <v>1520.1158177144059</v>
      </c>
      <c r="AB64" s="100">
        <f t="shared" si="27"/>
        <v>0.90975315794420941</v>
      </c>
      <c r="AC64" s="15">
        <f t="shared" si="14"/>
        <v>0.90975315794420941</v>
      </c>
      <c r="AD64" s="5"/>
      <c r="AE64" s="5"/>
      <c r="AF64" s="5"/>
      <c r="AG64" s="3"/>
      <c r="AH64" s="3"/>
      <c r="AI64" s="3"/>
      <c r="AJ64" s="3"/>
      <c r="AK64" s="3"/>
      <c r="AL64" s="3"/>
      <c r="AM64" s="3"/>
      <c r="AN64" s="3"/>
      <c r="AO64" s="3"/>
      <c r="AP64" s="3"/>
    </row>
    <row r="65" spans="1:42" x14ac:dyDescent="0.3">
      <c r="A65" s="2"/>
      <c r="B65" s="12">
        <f t="shared" si="15"/>
        <v>6100</v>
      </c>
      <c r="C65" s="11">
        <f t="shared" si="16"/>
        <v>65</v>
      </c>
      <c r="D65" s="11">
        <f t="shared" si="17"/>
        <v>1.1344305555555556</v>
      </c>
      <c r="E65" s="15">
        <f t="shared" si="18"/>
        <v>5777.3291153713062</v>
      </c>
      <c r="F65" s="13">
        <f t="shared" si="3"/>
        <v>2578.1563683065265</v>
      </c>
      <c r="G65" s="13">
        <f t="shared" si="4"/>
        <v>5528.391243441486</v>
      </c>
      <c r="H65" s="13">
        <f t="shared" si="19"/>
        <v>5519.0476190476193</v>
      </c>
      <c r="I65" s="13">
        <f t="shared" si="5"/>
        <v>5519.0476190476193</v>
      </c>
      <c r="J65" s="11">
        <f t="shared" si="20"/>
        <v>1733.1987346113917</v>
      </c>
      <c r="K65" s="11">
        <f t="shared" si="6"/>
        <v>0.30805278102377665</v>
      </c>
      <c r="L65" s="11">
        <f t="shared" si="7"/>
        <v>1651.6097560975591</v>
      </c>
      <c r="M65" s="11"/>
      <c r="N65" s="11"/>
      <c r="O65" s="14">
        <f t="shared" si="8"/>
        <v>525.51219512195098</v>
      </c>
      <c r="P65" s="14"/>
      <c r="Q65" s="15">
        <f t="shared" si="21"/>
        <v>5777.3291153713062</v>
      </c>
      <c r="R65" s="15">
        <f t="shared" si="9"/>
        <v>-4125.7193592737476</v>
      </c>
      <c r="S65" s="15">
        <f t="shared" si="22"/>
        <v>0.30805278102377665</v>
      </c>
      <c r="T65" s="11">
        <f t="shared" si="10"/>
        <v>-5396.9453888998514</v>
      </c>
      <c r="U65" s="11">
        <f t="shared" si="11"/>
        <v>815.66428181923573</v>
      </c>
      <c r="V65" s="16">
        <f t="shared" si="23"/>
        <v>1520.1158492437173</v>
      </c>
      <c r="W65" s="16">
        <f t="shared" si="24"/>
        <v>-0.90975315794420941</v>
      </c>
      <c r="X65" s="16">
        <f t="shared" si="25"/>
        <v>0.66124684205579054</v>
      </c>
      <c r="Y65" s="11">
        <f t="shared" si="26"/>
        <v>0.66124684205579054</v>
      </c>
      <c r="Z65" s="16">
        <f t="shared" si="12"/>
        <v>-0.30960686500328394</v>
      </c>
      <c r="AA65" s="16">
        <f t="shared" si="13"/>
        <v>1520.1158177144059</v>
      </c>
      <c r="AB65" s="100">
        <f t="shared" si="27"/>
        <v>0.90975315794420941</v>
      </c>
      <c r="AC65" s="15">
        <f t="shared" si="14"/>
        <v>0.90975315794420941</v>
      </c>
      <c r="AD65" s="5"/>
      <c r="AE65" s="5"/>
      <c r="AF65" s="5"/>
      <c r="AG65" s="3"/>
      <c r="AH65" s="3"/>
      <c r="AI65" s="3"/>
      <c r="AJ65" s="3"/>
      <c r="AK65" s="3"/>
      <c r="AL65" s="3"/>
      <c r="AM65" s="3"/>
      <c r="AN65" s="3"/>
      <c r="AO65" s="3"/>
      <c r="AP65" s="3"/>
    </row>
    <row r="66" spans="1:42" x14ac:dyDescent="0.3">
      <c r="A66" s="2"/>
      <c r="B66" s="12">
        <f t="shared" si="15"/>
        <v>6100</v>
      </c>
      <c r="C66" s="11">
        <f t="shared" si="16"/>
        <v>70</v>
      </c>
      <c r="D66" s="11">
        <f t="shared" si="17"/>
        <v>1.2216944444444444</v>
      </c>
      <c r="E66" s="15">
        <f t="shared" si="18"/>
        <v>5777.3291153713062</v>
      </c>
      <c r="F66" s="13">
        <f t="shared" si="3"/>
        <v>2086.529412582207</v>
      </c>
      <c r="G66" s="13">
        <f t="shared" si="4"/>
        <v>5732.0498087882443</v>
      </c>
      <c r="H66" s="13">
        <f t="shared" si="19"/>
        <v>5519.0476190476193</v>
      </c>
      <c r="I66" s="13">
        <f t="shared" si="5"/>
        <v>5519.0476190476193</v>
      </c>
      <c r="J66" s="11">
        <f t="shared" si="20"/>
        <v>1733.1987346113917</v>
      </c>
      <c r="K66" s="11">
        <f t="shared" si="6"/>
        <v>0.30805278102377665</v>
      </c>
      <c r="L66" s="11">
        <f t="shared" si="7"/>
        <v>1651.6097560975591</v>
      </c>
      <c r="M66" s="11"/>
      <c r="N66" s="11"/>
      <c r="O66" s="14">
        <f t="shared" si="8"/>
        <v>525.51219512195098</v>
      </c>
      <c r="P66" s="14"/>
      <c r="Q66" s="15">
        <f t="shared" si="21"/>
        <v>5777.3291153713062</v>
      </c>
      <c r="R66" s="15">
        <f t="shared" si="9"/>
        <v>-4125.7193592737476</v>
      </c>
      <c r="S66" s="15">
        <f t="shared" si="22"/>
        <v>0.30805278102377665</v>
      </c>
      <c r="T66" s="11">
        <f t="shared" si="10"/>
        <v>-5469.4805135149154</v>
      </c>
      <c r="U66" s="11">
        <f t="shared" si="11"/>
        <v>845.71226687039677</v>
      </c>
      <c r="V66" s="16">
        <f t="shared" si="23"/>
        <v>1520.1158492437173</v>
      </c>
      <c r="W66" s="16">
        <f t="shared" si="24"/>
        <v>-0.90975315794420941</v>
      </c>
      <c r="X66" s="16">
        <f t="shared" si="25"/>
        <v>0.66124684205579054</v>
      </c>
      <c r="Y66" s="11">
        <f t="shared" si="26"/>
        <v>0.66124684205579054</v>
      </c>
      <c r="Z66" s="16">
        <f t="shared" si="12"/>
        <v>-0.30960686500328394</v>
      </c>
      <c r="AA66" s="16">
        <f t="shared" si="13"/>
        <v>1520.1158177144059</v>
      </c>
      <c r="AB66" s="100">
        <f t="shared" si="27"/>
        <v>0.90975315794420941</v>
      </c>
      <c r="AC66" s="15">
        <f t="shared" si="14"/>
        <v>0.90975315794420941</v>
      </c>
      <c r="AD66" s="5"/>
      <c r="AE66" s="5"/>
      <c r="AF66" s="5"/>
      <c r="AG66" s="3"/>
      <c r="AH66" s="3"/>
      <c r="AI66" s="3"/>
      <c r="AJ66" s="3"/>
      <c r="AK66" s="3"/>
      <c r="AL66" s="3"/>
      <c r="AM66" s="3"/>
      <c r="AN66" s="3"/>
      <c r="AO66" s="3"/>
      <c r="AP66" s="3"/>
    </row>
    <row r="67" spans="1:42" x14ac:dyDescent="0.3">
      <c r="A67" s="2"/>
      <c r="B67" s="12">
        <f t="shared" si="15"/>
        <v>6100</v>
      </c>
      <c r="C67" s="11">
        <f t="shared" si="16"/>
        <v>75</v>
      </c>
      <c r="D67" s="11">
        <f t="shared" si="17"/>
        <v>1.3089583333333334</v>
      </c>
      <c r="E67" s="15">
        <f t="shared" si="18"/>
        <v>5777.3291153713062</v>
      </c>
      <c r="F67" s="13">
        <f t="shared" si="3"/>
        <v>1579.0236442076389</v>
      </c>
      <c r="G67" s="13">
        <f t="shared" si="4"/>
        <v>5892.086585500354</v>
      </c>
      <c r="H67" s="13">
        <f t="shared" si="19"/>
        <v>5519.0476190476193</v>
      </c>
      <c r="I67" s="13">
        <f t="shared" si="5"/>
        <v>5519.0476190476193</v>
      </c>
      <c r="J67" s="11">
        <f t="shared" si="20"/>
        <v>1733.1987346113917</v>
      </c>
      <c r="K67" s="11">
        <f t="shared" si="6"/>
        <v>0.30805278102377665</v>
      </c>
      <c r="L67" s="11">
        <f t="shared" si="7"/>
        <v>1651.6097560975591</v>
      </c>
      <c r="M67" s="11"/>
      <c r="N67" s="11"/>
      <c r="O67" s="14">
        <f t="shared" si="8"/>
        <v>525.51219512195098</v>
      </c>
      <c r="P67" s="14"/>
      <c r="Q67" s="15">
        <f t="shared" si="21"/>
        <v>5777.3291153713062</v>
      </c>
      <c r="R67" s="15">
        <f t="shared" si="9"/>
        <v>-4125.7193592737476</v>
      </c>
      <c r="S67" s="15">
        <f t="shared" si="22"/>
        <v>0.30805278102377665</v>
      </c>
      <c r="T67" s="11">
        <f t="shared" si="10"/>
        <v>-5544.3584137669004</v>
      </c>
      <c r="U67" s="11">
        <f t="shared" si="11"/>
        <v>869.32425031972446</v>
      </c>
      <c r="V67" s="16">
        <f t="shared" si="23"/>
        <v>1520.1158492437173</v>
      </c>
      <c r="W67" s="16">
        <f t="shared" si="24"/>
        <v>-0.90975315794420941</v>
      </c>
      <c r="X67" s="16">
        <f t="shared" si="25"/>
        <v>0.66124684205579054</v>
      </c>
      <c r="Y67" s="11">
        <f t="shared" si="26"/>
        <v>0.66124684205579054</v>
      </c>
      <c r="Z67" s="16">
        <f t="shared" si="12"/>
        <v>-0.30960686500328394</v>
      </c>
      <c r="AA67" s="16">
        <f t="shared" si="13"/>
        <v>1520.1158177144059</v>
      </c>
      <c r="AB67" s="100">
        <f t="shared" si="27"/>
        <v>0.90975315794420941</v>
      </c>
      <c r="AC67" s="15">
        <f t="shared" si="14"/>
        <v>0.90975315794420941</v>
      </c>
      <c r="AD67" s="5"/>
      <c r="AE67" s="5"/>
      <c r="AF67" s="5"/>
      <c r="AG67" s="3"/>
      <c r="AH67" s="3"/>
      <c r="AI67" s="3"/>
      <c r="AJ67" s="3"/>
      <c r="AK67" s="3"/>
      <c r="AL67" s="3"/>
      <c r="AM67" s="3"/>
      <c r="AN67" s="3"/>
      <c r="AO67" s="3"/>
      <c r="AP67" s="3"/>
    </row>
    <row r="68" spans="1:42" x14ac:dyDescent="0.3">
      <c r="A68" s="2"/>
      <c r="B68" s="12">
        <f t="shared" si="15"/>
        <v>6100</v>
      </c>
      <c r="C68" s="11">
        <f t="shared" si="16"/>
        <v>80</v>
      </c>
      <c r="D68" s="11">
        <f t="shared" si="17"/>
        <v>1.3962222222222223</v>
      </c>
      <c r="E68" s="15">
        <f t="shared" si="18"/>
        <v>5777.3291153713062</v>
      </c>
      <c r="F68" s="13">
        <f t="shared" si="3"/>
        <v>1059.5012608428924</v>
      </c>
      <c r="G68" s="13">
        <f t="shared" si="4"/>
        <v>6007.283668870009</v>
      </c>
      <c r="H68" s="13">
        <f t="shared" si="19"/>
        <v>5519.0476190476193</v>
      </c>
      <c r="I68" s="13">
        <f t="shared" si="5"/>
        <v>5519.0476190476193</v>
      </c>
      <c r="J68" s="11">
        <f t="shared" si="20"/>
        <v>1733.1987346113917</v>
      </c>
      <c r="K68" s="11">
        <f t="shared" si="6"/>
        <v>0.30805278102377665</v>
      </c>
      <c r="L68" s="11">
        <f t="shared" si="7"/>
        <v>1651.6097560975591</v>
      </c>
      <c r="M68" s="11"/>
      <c r="N68" s="11"/>
      <c r="O68" s="14">
        <f t="shared" si="8"/>
        <v>525.51219512195098</v>
      </c>
      <c r="P68" s="14"/>
      <c r="Q68" s="15">
        <f t="shared" si="21"/>
        <v>5777.3291153713062</v>
      </c>
      <c r="R68" s="15">
        <f t="shared" si="9"/>
        <v>-4125.7193592737476</v>
      </c>
      <c r="S68" s="15">
        <f t="shared" si="22"/>
        <v>0.30805278102377665</v>
      </c>
      <c r="T68" s="11">
        <f t="shared" si="10"/>
        <v>-5621.0092572141584</v>
      </c>
      <c r="U68" s="11">
        <f t="shared" si="11"/>
        <v>886.32054130868983</v>
      </c>
      <c r="V68" s="16">
        <f t="shared" si="23"/>
        <v>1520.1158492437173</v>
      </c>
      <c r="W68" s="16">
        <f t="shared" si="24"/>
        <v>-0.90975315794420941</v>
      </c>
      <c r="X68" s="16">
        <f t="shared" si="25"/>
        <v>0.66124684205579054</v>
      </c>
      <c r="Y68" s="11">
        <f t="shared" si="26"/>
        <v>0.66124684205579054</v>
      </c>
      <c r="Z68" s="16">
        <f t="shared" si="12"/>
        <v>-0.30960686500328394</v>
      </c>
      <c r="AA68" s="16">
        <f t="shared" si="13"/>
        <v>1520.1158177144059</v>
      </c>
      <c r="AB68" s="100">
        <f t="shared" si="27"/>
        <v>0.90975315794420941</v>
      </c>
      <c r="AC68" s="15">
        <f t="shared" si="14"/>
        <v>0.90975315794420941</v>
      </c>
      <c r="AD68" s="5"/>
      <c r="AE68" s="5"/>
      <c r="AF68" s="5"/>
      <c r="AG68" s="3"/>
      <c r="AH68" s="3"/>
      <c r="AI68" s="3"/>
      <c r="AJ68" s="3"/>
      <c r="AK68" s="3"/>
      <c r="AL68" s="3"/>
      <c r="AM68" s="3"/>
      <c r="AN68" s="3"/>
      <c r="AO68" s="3"/>
      <c r="AP68" s="3"/>
    </row>
    <row r="69" spans="1:42" x14ac:dyDescent="0.3">
      <c r="A69" s="2"/>
      <c r="B69" s="12">
        <f t="shared" si="15"/>
        <v>6100</v>
      </c>
      <c r="C69" s="11">
        <f t="shared" si="16"/>
        <v>85</v>
      </c>
      <c r="D69" s="11">
        <f t="shared" si="17"/>
        <v>1.4834861111111113</v>
      </c>
      <c r="E69" s="15">
        <f t="shared" si="18"/>
        <v>5777.3291153713062</v>
      </c>
      <c r="F69" s="13">
        <f t="shared" si="3"/>
        <v>531.91590845303745</v>
      </c>
      <c r="G69" s="13">
        <f t="shared" si="4"/>
        <v>6076.7643912146686</v>
      </c>
      <c r="H69" s="13">
        <f t="shared" si="19"/>
        <v>5519.0476190476193</v>
      </c>
      <c r="I69" s="13">
        <f t="shared" si="5"/>
        <v>5519.0476190476193</v>
      </c>
      <c r="J69" s="11">
        <f t="shared" si="20"/>
        <v>1733.1987346113917</v>
      </c>
      <c r="K69" s="11">
        <f t="shared" si="6"/>
        <v>0.30805278102377665</v>
      </c>
      <c r="L69" s="11">
        <f t="shared" si="7"/>
        <v>1651.6097560975591</v>
      </c>
      <c r="M69" s="11"/>
      <c r="N69" s="11"/>
      <c r="O69" s="14">
        <f t="shared" si="8"/>
        <v>525.51219512195098</v>
      </c>
      <c r="P69" s="14"/>
      <c r="Q69" s="15">
        <f t="shared" si="21"/>
        <v>5777.3291153713062</v>
      </c>
      <c r="R69" s="15">
        <f t="shared" si="9"/>
        <v>-4125.7193592737476</v>
      </c>
      <c r="S69" s="15">
        <f t="shared" si="22"/>
        <v>0.30805278102377665</v>
      </c>
      <c r="T69" s="11">
        <f t="shared" si="10"/>
        <v>-5698.8497190421695</v>
      </c>
      <c r="U69" s="11">
        <f t="shared" si="11"/>
        <v>896.57179542511494</v>
      </c>
      <c r="V69" s="16">
        <f t="shared" si="23"/>
        <v>1520.1158492437173</v>
      </c>
      <c r="W69" s="16">
        <f t="shared" si="24"/>
        <v>-0.90975315794420941</v>
      </c>
      <c r="X69" s="16">
        <f t="shared" si="25"/>
        <v>0.66124684205579054</v>
      </c>
      <c r="Y69" s="11">
        <f t="shared" si="26"/>
        <v>0.66124684205579054</v>
      </c>
      <c r="Z69" s="16">
        <f t="shared" si="12"/>
        <v>-0.30960686500328394</v>
      </c>
      <c r="AA69" s="16">
        <f t="shared" si="13"/>
        <v>1520.1158177144059</v>
      </c>
      <c r="AB69" s="100">
        <f t="shared" si="27"/>
        <v>0.90975315794420941</v>
      </c>
      <c r="AC69" s="15">
        <f t="shared" si="14"/>
        <v>0.90975315794420941</v>
      </c>
      <c r="AD69" s="5"/>
      <c r="AE69" s="5"/>
      <c r="AF69" s="5"/>
      <c r="AG69" s="3"/>
      <c r="AH69" s="3"/>
      <c r="AI69" s="3"/>
      <c r="AJ69" s="3"/>
      <c r="AK69" s="3"/>
      <c r="AL69" s="3"/>
      <c r="AM69" s="3"/>
      <c r="AN69" s="3"/>
      <c r="AO69" s="3"/>
      <c r="AP69" s="3"/>
    </row>
    <row r="70" spans="1:42" x14ac:dyDescent="0.3">
      <c r="A70" s="2"/>
      <c r="B70" s="12">
        <f t="shared" si="15"/>
        <v>6100</v>
      </c>
      <c r="C70" s="11">
        <f t="shared" si="16"/>
        <v>90</v>
      </c>
      <c r="D70" s="11">
        <f t="shared" si="17"/>
        <v>1.5707500000000001</v>
      </c>
      <c r="E70" s="15">
        <f t="shared" si="18"/>
        <v>5777.3291153713062</v>
      </c>
      <c r="F70" s="13">
        <f t="shared" si="3"/>
        <v>0.28259344876774251</v>
      </c>
      <c r="G70" s="13">
        <f t="shared" si="4"/>
        <v>6099.9999934541756</v>
      </c>
      <c r="H70" s="13">
        <f t="shared" si="19"/>
        <v>5519.0476190476193</v>
      </c>
      <c r="I70" s="13">
        <f t="shared" si="5"/>
        <v>5519.0476190476193</v>
      </c>
      <c r="J70" s="11">
        <f t="shared" si="20"/>
        <v>1733.1987346113917</v>
      </c>
      <c r="K70" s="11">
        <f t="shared" si="6"/>
        <v>0.30805278102377665</v>
      </c>
      <c r="L70" s="11">
        <f t="shared" si="7"/>
        <v>1651.6097560975591</v>
      </c>
      <c r="M70" s="11"/>
      <c r="N70" s="11"/>
      <c r="O70" s="14">
        <f t="shared" si="8"/>
        <v>525.51219512195098</v>
      </c>
      <c r="P70" s="14"/>
      <c r="Q70" s="15">
        <f t="shared" si="21"/>
        <v>5777.3291153713062</v>
      </c>
      <c r="R70" s="15">
        <f t="shared" si="9"/>
        <v>-4125.7193592737476</v>
      </c>
      <c r="S70" s="15">
        <f t="shared" si="22"/>
        <v>0.30805278102377665</v>
      </c>
      <c r="T70" s="11">
        <f t="shared" ref="T70:T88" si="28">900*COS(D70)-E70</f>
        <v>-5777.2874212559145</v>
      </c>
      <c r="U70" s="11">
        <f t="shared" ref="U70:U88" si="29">900*SIN(D70)</f>
        <v>899.9999990342227</v>
      </c>
      <c r="V70" s="16">
        <f t="shared" si="23"/>
        <v>1520.1158492437173</v>
      </c>
      <c r="W70" s="16">
        <f t="shared" si="24"/>
        <v>-0.90975315794420941</v>
      </c>
      <c r="X70" s="16">
        <f t="shared" si="25"/>
        <v>0.66124684205579054</v>
      </c>
      <c r="Y70" s="11">
        <f t="shared" si="26"/>
        <v>0.66124684205579054</v>
      </c>
      <c r="Z70" s="16">
        <f t="shared" si="12"/>
        <v>-0.30960686500328394</v>
      </c>
      <c r="AA70" s="16">
        <f t="shared" si="13"/>
        <v>1520.1158177144059</v>
      </c>
      <c r="AB70" s="100">
        <f t="shared" si="27"/>
        <v>0.90975315794420941</v>
      </c>
      <c r="AC70" s="15">
        <f t="shared" si="14"/>
        <v>0.90975315794420941</v>
      </c>
      <c r="AD70" s="5"/>
      <c r="AE70" s="5"/>
      <c r="AF70" s="5"/>
      <c r="AG70" s="3"/>
      <c r="AH70" s="3"/>
      <c r="AI70" s="3"/>
      <c r="AJ70" s="3"/>
      <c r="AK70" s="3"/>
      <c r="AL70" s="3"/>
      <c r="AM70" s="3"/>
      <c r="AN70" s="3"/>
      <c r="AO70" s="3"/>
      <c r="AP70" s="3"/>
    </row>
    <row r="71" spans="1:42" x14ac:dyDescent="0.3">
      <c r="A71" s="2"/>
      <c r="B71" s="12">
        <f t="shared" si="15"/>
        <v>6100</v>
      </c>
      <c r="C71" s="11">
        <f t="shared" si="16"/>
        <v>95</v>
      </c>
      <c r="D71" s="11">
        <f t="shared" si="17"/>
        <v>1.6580138888888889</v>
      </c>
      <c r="E71" s="15">
        <f t="shared" si="18"/>
        <v>5777.3291153713062</v>
      </c>
      <c r="F71" s="13">
        <f t="shared" si="3"/>
        <v>-531.3528721355043</v>
      </c>
      <c r="G71" s="13">
        <f t="shared" si="4"/>
        <v>6076.8136490494217</v>
      </c>
      <c r="H71" s="13">
        <f t="shared" si="19"/>
        <v>5519.0476190476193</v>
      </c>
      <c r="I71" s="13">
        <f t="shared" si="5"/>
        <v>5519.0476190476193</v>
      </c>
      <c r="J71" s="11">
        <f t="shared" si="20"/>
        <v>1733.1987346113917</v>
      </c>
      <c r="K71" s="11">
        <f t="shared" si="6"/>
        <v>0.30805278102377665</v>
      </c>
      <c r="L71" s="11">
        <f t="shared" si="7"/>
        <v>1651.6097560975591</v>
      </c>
      <c r="M71" s="11"/>
      <c r="N71" s="11"/>
      <c r="O71" s="14">
        <f t="shared" si="8"/>
        <v>525.51219512195098</v>
      </c>
      <c r="P71" s="14"/>
      <c r="Q71" s="15">
        <f t="shared" si="21"/>
        <v>5777.3291153713062</v>
      </c>
      <c r="R71" s="15">
        <f t="shared" si="9"/>
        <v>-4125.7193592737476</v>
      </c>
      <c r="S71" s="15">
        <f t="shared" si="22"/>
        <v>0.30805278102377665</v>
      </c>
      <c r="T71" s="11">
        <f t="shared" si="28"/>
        <v>-5855.7254407683477</v>
      </c>
      <c r="U71" s="11">
        <f t="shared" si="29"/>
        <v>896.57906297450484</v>
      </c>
      <c r="V71" s="16">
        <f t="shared" si="23"/>
        <v>1520.1158492437173</v>
      </c>
      <c r="W71" s="16">
        <f t="shared" si="24"/>
        <v>-0.90975315794420941</v>
      </c>
      <c r="X71" s="16">
        <f t="shared" si="25"/>
        <v>0.66124684205579054</v>
      </c>
      <c r="Y71" s="11">
        <f t="shared" si="26"/>
        <v>0.66124684205579054</v>
      </c>
      <c r="Z71" s="16">
        <f t="shared" si="12"/>
        <v>-0.30960686500328394</v>
      </c>
      <c r="AA71" s="16">
        <f t="shared" si="13"/>
        <v>1520.1158177144059</v>
      </c>
      <c r="AB71" s="100">
        <f t="shared" si="27"/>
        <v>0.90975315794420941</v>
      </c>
      <c r="AC71" s="15">
        <f t="shared" si="14"/>
        <v>0.90975315794420941</v>
      </c>
      <c r="AD71" s="5"/>
      <c r="AE71" s="5"/>
      <c r="AF71" s="5"/>
      <c r="AG71" s="3"/>
      <c r="AH71" s="3"/>
      <c r="AI71" s="3"/>
      <c r="AJ71" s="3"/>
      <c r="AK71" s="3"/>
      <c r="AL71" s="3"/>
      <c r="AM71" s="3"/>
      <c r="AN71" s="3"/>
      <c r="AO71" s="3"/>
      <c r="AP71" s="3"/>
    </row>
    <row r="72" spans="1:42" x14ac:dyDescent="0.3">
      <c r="A72" s="2"/>
      <c r="B72" s="12">
        <f t="shared" si="15"/>
        <v>6100</v>
      </c>
      <c r="C72" s="11">
        <f t="shared" si="16"/>
        <v>100</v>
      </c>
      <c r="D72" s="11">
        <f t="shared" si="17"/>
        <v>1.7452777777777779</v>
      </c>
      <c r="E72" s="15">
        <f t="shared" si="18"/>
        <v>5777.3291153713062</v>
      </c>
      <c r="F72" s="13">
        <f t="shared" si="3"/>
        <v>-1058.944659899119</v>
      </c>
      <c r="G72" s="13">
        <f t="shared" si="4"/>
        <v>6007.3818096797495</v>
      </c>
      <c r="H72" s="13">
        <f t="shared" si="19"/>
        <v>5519.0476190476193</v>
      </c>
      <c r="I72" s="13">
        <f t="shared" si="5"/>
        <v>5519.0476190476193</v>
      </c>
      <c r="J72" s="11">
        <f t="shared" si="20"/>
        <v>1733.1987346113917</v>
      </c>
      <c r="K72" s="11">
        <f t="shared" si="6"/>
        <v>0.30805278102377665</v>
      </c>
      <c r="L72" s="11">
        <f t="shared" si="7"/>
        <v>1651.6097560975591</v>
      </c>
      <c r="M72" s="11"/>
      <c r="N72" s="11"/>
      <c r="O72" s="14">
        <f t="shared" si="8"/>
        <v>525.51219512195098</v>
      </c>
      <c r="P72" s="14"/>
      <c r="Q72" s="15">
        <f t="shared" si="21"/>
        <v>5777.3291153713062</v>
      </c>
      <c r="R72" s="15">
        <f t="shared" si="9"/>
        <v>-4125.7193592737476</v>
      </c>
      <c r="S72" s="15">
        <f t="shared" si="22"/>
        <v>0.30805278102377665</v>
      </c>
      <c r="T72" s="11">
        <f t="shared" si="28"/>
        <v>-5933.5668520777335</v>
      </c>
      <c r="U72" s="11">
        <f t="shared" si="29"/>
        <v>886.33502110029087</v>
      </c>
      <c r="V72" s="16">
        <f t="shared" si="23"/>
        <v>1520.1158492437173</v>
      </c>
      <c r="W72" s="16">
        <f t="shared" si="24"/>
        <v>-0.90975315794420941</v>
      </c>
      <c r="X72" s="16">
        <f t="shared" si="25"/>
        <v>0.66124684205579054</v>
      </c>
      <c r="Y72" s="11">
        <f t="shared" si="26"/>
        <v>0.66124684205579054</v>
      </c>
      <c r="Z72" s="16">
        <f t="shared" si="12"/>
        <v>-0.30960686500328394</v>
      </c>
      <c r="AA72" s="16">
        <f t="shared" si="13"/>
        <v>1520.1158177144059</v>
      </c>
      <c r="AB72" s="100">
        <f t="shared" si="27"/>
        <v>0.90975315794420941</v>
      </c>
      <c r="AC72" s="15">
        <f t="shared" si="14"/>
        <v>0.90975315794420941</v>
      </c>
      <c r="AD72" s="5"/>
      <c r="AE72" s="5"/>
      <c r="AF72" s="5"/>
      <c r="AG72" s="3"/>
      <c r="AH72" s="3"/>
      <c r="AI72" s="3"/>
      <c r="AJ72" s="3"/>
      <c r="AK72" s="3"/>
      <c r="AL72" s="3"/>
      <c r="AM72" s="3"/>
      <c r="AN72" s="3"/>
      <c r="AO72" s="3"/>
      <c r="AP72" s="3"/>
    </row>
    <row r="73" spans="1:42" x14ac:dyDescent="0.3">
      <c r="A73" s="2"/>
      <c r="B73" s="12">
        <f t="shared" si="15"/>
        <v>6100</v>
      </c>
      <c r="C73" s="11">
        <f t="shared" si="16"/>
        <v>105</v>
      </c>
      <c r="D73" s="11">
        <f t="shared" si="17"/>
        <v>1.8325416666666667</v>
      </c>
      <c r="E73" s="15">
        <f t="shared" si="18"/>
        <v>5777.3291153713062</v>
      </c>
      <c r="F73" s="13">
        <f t="shared" si="3"/>
        <v>-1578.4777144571892</v>
      </c>
      <c r="G73" s="13">
        <f t="shared" si="4"/>
        <v>5892.2328624182883</v>
      </c>
      <c r="H73" s="13">
        <f t="shared" si="19"/>
        <v>5519.0476190476193</v>
      </c>
      <c r="I73" s="13">
        <f t="shared" si="5"/>
        <v>5519.0476190476193</v>
      </c>
      <c r="J73" s="11">
        <f t="shared" si="20"/>
        <v>1733.1987346113917</v>
      </c>
      <c r="K73" s="11">
        <f t="shared" si="6"/>
        <v>0.30805278102377665</v>
      </c>
      <c r="L73" s="11">
        <f t="shared" si="7"/>
        <v>1651.6097560975591</v>
      </c>
      <c r="M73" s="11"/>
      <c r="N73" s="11"/>
      <c r="O73" s="14">
        <f t="shared" si="8"/>
        <v>525.51219512195098</v>
      </c>
      <c r="P73" s="14"/>
      <c r="Q73" s="15">
        <f t="shared" si="21"/>
        <v>5777.3291153713062</v>
      </c>
      <c r="R73" s="15">
        <f t="shared" si="9"/>
        <v>-4125.7193592737476</v>
      </c>
      <c r="S73" s="15">
        <f t="shared" si="22"/>
        <v>0.30805278102377665</v>
      </c>
      <c r="T73" s="11">
        <f t="shared" si="28"/>
        <v>-6010.2192699633506</v>
      </c>
      <c r="U73" s="11">
        <f t="shared" si="29"/>
        <v>869.34583216007525</v>
      </c>
      <c r="V73" s="16">
        <f t="shared" si="23"/>
        <v>1520.1158492437173</v>
      </c>
      <c r="W73" s="16">
        <f t="shared" si="24"/>
        <v>-0.90975315794420941</v>
      </c>
      <c r="X73" s="16">
        <f t="shared" si="25"/>
        <v>0.66124684205579054</v>
      </c>
      <c r="Y73" s="11">
        <f t="shared" si="26"/>
        <v>0.66124684205579054</v>
      </c>
      <c r="Z73" s="16">
        <f t="shared" si="12"/>
        <v>-0.30960686500328394</v>
      </c>
      <c r="AA73" s="16">
        <f t="shared" si="13"/>
        <v>1520.1158177144059</v>
      </c>
      <c r="AB73" s="100">
        <f t="shared" si="27"/>
        <v>0.90975315794420941</v>
      </c>
      <c r="AC73" s="15">
        <f t="shared" si="14"/>
        <v>0.90975315794420941</v>
      </c>
      <c r="AD73" s="5"/>
      <c r="AE73" s="5"/>
      <c r="AF73" s="5"/>
      <c r="AG73" s="3"/>
      <c r="AH73" s="3"/>
      <c r="AI73" s="3"/>
      <c r="AJ73" s="3"/>
      <c r="AK73" s="3"/>
      <c r="AL73" s="3"/>
      <c r="AM73" s="3"/>
      <c r="AN73" s="3"/>
      <c r="AO73" s="3"/>
      <c r="AP73" s="3"/>
    </row>
    <row r="74" spans="1:42" x14ac:dyDescent="0.3">
      <c r="A74" s="2"/>
      <c r="B74" s="12">
        <f t="shared" si="15"/>
        <v>6100</v>
      </c>
      <c r="C74" s="11">
        <f t="shared" si="16"/>
        <v>110</v>
      </c>
      <c r="D74" s="11">
        <f t="shared" si="17"/>
        <v>1.9198055555555555</v>
      </c>
      <c r="E74" s="15">
        <f t="shared" si="18"/>
        <v>5777.3291153713062</v>
      </c>
      <c r="F74" s="13">
        <f t="shared" si="3"/>
        <v>-2085.9983086352072</v>
      </c>
      <c r="G74" s="13">
        <f t="shared" si="4"/>
        <v>5732.2431086243241</v>
      </c>
      <c r="H74" s="13">
        <f t="shared" si="19"/>
        <v>5519.0476190476193</v>
      </c>
      <c r="I74" s="13">
        <f t="shared" si="5"/>
        <v>5519.0476190476193</v>
      </c>
      <c r="J74" s="11">
        <f t="shared" si="20"/>
        <v>1733.1987346113917</v>
      </c>
      <c r="K74" s="11">
        <f t="shared" si="6"/>
        <v>0.30805278102377665</v>
      </c>
      <c r="L74" s="11">
        <f t="shared" si="7"/>
        <v>1651.6097560975591</v>
      </c>
      <c r="M74" s="11"/>
      <c r="N74" s="11"/>
      <c r="O74" s="14">
        <f t="shared" si="8"/>
        <v>525.51219512195098</v>
      </c>
      <c r="P74" s="14"/>
      <c r="Q74" s="15">
        <f t="shared" si="21"/>
        <v>5777.3291153713062</v>
      </c>
      <c r="R74" s="15">
        <f t="shared" si="9"/>
        <v>-4125.7193592737476</v>
      </c>
      <c r="S74" s="15">
        <f t="shared" si="22"/>
        <v>0.30805278102377665</v>
      </c>
      <c r="T74" s="11">
        <f t="shared" si="28"/>
        <v>-6085.0993576289602</v>
      </c>
      <c r="U74" s="11">
        <f t="shared" si="29"/>
        <v>845.74078651834293</v>
      </c>
      <c r="V74" s="16">
        <f t="shared" si="23"/>
        <v>1520.1158492437173</v>
      </c>
      <c r="W74" s="16">
        <f t="shared" si="24"/>
        <v>-0.90975315794420941</v>
      </c>
      <c r="X74" s="16">
        <f t="shared" si="25"/>
        <v>0.66124684205579054</v>
      </c>
      <c r="Y74" s="11">
        <f t="shared" si="26"/>
        <v>0.66124684205579054</v>
      </c>
      <c r="Z74" s="16">
        <f t="shared" si="12"/>
        <v>-0.30960686500328394</v>
      </c>
      <c r="AA74" s="16">
        <f t="shared" si="13"/>
        <v>1520.1158177144059</v>
      </c>
      <c r="AB74" s="100">
        <f t="shared" si="27"/>
        <v>0.90975315794420941</v>
      </c>
      <c r="AC74" s="15">
        <f t="shared" si="14"/>
        <v>0.90975315794420941</v>
      </c>
      <c r="AD74" s="5"/>
      <c r="AE74" s="5"/>
      <c r="AF74" s="5"/>
      <c r="AG74" s="3"/>
      <c r="AH74" s="3"/>
      <c r="AI74" s="3"/>
      <c r="AJ74" s="3"/>
      <c r="AK74" s="3"/>
      <c r="AL74" s="3"/>
      <c r="AM74" s="3"/>
      <c r="AN74" s="3"/>
      <c r="AO74" s="3"/>
      <c r="AP74" s="3"/>
    </row>
    <row r="75" spans="1:42" x14ac:dyDescent="0.3">
      <c r="A75" s="2"/>
      <c r="B75" s="12">
        <f t="shared" si="15"/>
        <v>6100</v>
      </c>
      <c r="C75" s="11">
        <f t="shared" si="16"/>
        <v>115</v>
      </c>
      <c r="D75" s="11">
        <f t="shared" si="17"/>
        <v>2.0070694444444448</v>
      </c>
      <c r="E75" s="15">
        <f t="shared" si="18"/>
        <v>5777.3291153713062</v>
      </c>
      <c r="F75" s="13">
        <f t="shared" si="3"/>
        <v>-2577.6441319464416</v>
      </c>
      <c r="G75" s="13">
        <f t="shared" si="4"/>
        <v>5528.6300951539597</v>
      </c>
      <c r="H75" s="13">
        <f t="shared" si="19"/>
        <v>5519.0476190476193</v>
      </c>
      <c r="I75" s="13">
        <f t="shared" si="5"/>
        <v>5519.0476190476193</v>
      </c>
      <c r="J75" s="11">
        <f t="shared" si="20"/>
        <v>1733.1987346113917</v>
      </c>
      <c r="K75" s="11">
        <f t="shared" si="6"/>
        <v>0.30805278102377665</v>
      </c>
      <c r="L75" s="11">
        <f t="shared" si="7"/>
        <v>1651.6097560975591</v>
      </c>
      <c r="M75" s="11"/>
      <c r="N75" s="11"/>
      <c r="O75" s="14">
        <f t="shared" si="8"/>
        <v>525.51219512195098</v>
      </c>
      <c r="P75" s="14"/>
      <c r="Q75" s="15">
        <f t="shared" si="21"/>
        <v>5777.3291153713062</v>
      </c>
      <c r="R75" s="15">
        <f t="shared" si="9"/>
        <v>-4125.7193592737476</v>
      </c>
      <c r="S75" s="15">
        <f t="shared" si="22"/>
        <v>0.30805278102377665</v>
      </c>
      <c r="T75" s="11">
        <f t="shared" si="28"/>
        <v>-6157.6372659863546</v>
      </c>
      <c r="U75" s="11">
        <f t="shared" si="29"/>
        <v>815.69952223583005</v>
      </c>
      <c r="V75" s="16">
        <f t="shared" si="23"/>
        <v>1520.1158492437173</v>
      </c>
      <c r="W75" s="16">
        <f t="shared" si="24"/>
        <v>-0.90975315794420941</v>
      </c>
      <c r="X75" s="16">
        <f t="shared" si="25"/>
        <v>0.66124684205579054</v>
      </c>
      <c r="Y75" s="11">
        <f t="shared" si="26"/>
        <v>0.66124684205579054</v>
      </c>
      <c r="Z75" s="16">
        <f t="shared" si="12"/>
        <v>-0.30960686500328394</v>
      </c>
      <c r="AA75" s="16">
        <f t="shared" si="13"/>
        <v>1520.1158177144059</v>
      </c>
      <c r="AB75" s="100">
        <f t="shared" si="27"/>
        <v>0.90975315794420941</v>
      </c>
      <c r="AC75" s="15">
        <f t="shared" si="14"/>
        <v>0.90975315794420941</v>
      </c>
      <c r="AD75" s="5"/>
      <c r="AE75" s="5"/>
      <c r="AF75" s="5"/>
      <c r="AG75" s="3"/>
      <c r="AH75" s="3"/>
      <c r="AI75" s="3"/>
      <c r="AJ75" s="3"/>
      <c r="AK75" s="3"/>
      <c r="AL75" s="3"/>
      <c r="AM75" s="3"/>
      <c r="AN75" s="3"/>
      <c r="AO75" s="3"/>
      <c r="AP75" s="3"/>
    </row>
    <row r="76" spans="1:42" x14ac:dyDescent="0.3">
      <c r="A76" s="2"/>
      <c r="B76" s="12">
        <f t="shared" si="15"/>
        <v>6100</v>
      </c>
      <c r="C76" s="11">
        <f t="shared" si="16"/>
        <v>120</v>
      </c>
      <c r="D76" s="11">
        <f t="shared" si="17"/>
        <v>2.0943333333333336</v>
      </c>
      <c r="E76" s="15">
        <f t="shared" si="18"/>
        <v>5777.3291153713062</v>
      </c>
      <c r="F76" s="13">
        <f t="shared" si="3"/>
        <v>-3049.6736833741465</v>
      </c>
      <c r="G76" s="13">
        <f t="shared" si="4"/>
        <v>5282.9433486395783</v>
      </c>
      <c r="H76" s="13">
        <f t="shared" si="19"/>
        <v>5519.0476190476193</v>
      </c>
      <c r="I76" s="13">
        <f t="shared" si="5"/>
        <v>5282.9433486395783</v>
      </c>
      <c r="J76" s="11">
        <f t="shared" si="20"/>
        <v>1733.1987346113917</v>
      </c>
      <c r="K76" s="11">
        <f t="shared" si="6"/>
        <v>0.30805278102377665</v>
      </c>
      <c r="L76" s="11">
        <f t="shared" si="7"/>
        <v>1651.6097560975591</v>
      </c>
      <c r="M76" s="11"/>
      <c r="N76" s="11"/>
      <c r="O76" s="14">
        <f t="shared" si="8"/>
        <v>525.51219512195098</v>
      </c>
      <c r="P76" s="14"/>
      <c r="Q76" s="15">
        <f t="shared" si="21"/>
        <v>5777.3291153713062</v>
      </c>
      <c r="R76" s="15">
        <f t="shared" si="9"/>
        <v>-4125.7193592737476</v>
      </c>
      <c r="S76" s="15">
        <f t="shared" si="22"/>
        <v>0.30805278102377665</v>
      </c>
      <c r="T76" s="11">
        <f t="shared" si="28"/>
        <v>-6227.2809702953609</v>
      </c>
      <c r="U76" s="11">
        <f t="shared" si="29"/>
        <v>779.45065799600343</v>
      </c>
      <c r="V76" s="16">
        <f t="shared" si="23"/>
        <v>1520.1158492437173</v>
      </c>
      <c r="W76" s="16">
        <f t="shared" si="24"/>
        <v>-0.90975315794420941</v>
      </c>
      <c r="X76" s="16">
        <f t="shared" si="25"/>
        <v>0.66124684205579054</v>
      </c>
      <c r="Y76" s="11">
        <f t="shared" si="26"/>
        <v>0.66124684205579054</v>
      </c>
      <c r="Z76" s="16">
        <f t="shared" si="12"/>
        <v>-0.30960686500328394</v>
      </c>
      <c r="AA76" s="16">
        <f t="shared" si="13"/>
        <v>1520.1158177144059</v>
      </c>
      <c r="AB76" s="100">
        <f t="shared" si="27"/>
        <v>0.90975315794420941</v>
      </c>
      <c r="AC76" s="15">
        <f t="shared" si="14"/>
        <v>0.90975315794420941</v>
      </c>
      <c r="AD76" s="5"/>
      <c r="AE76" s="5"/>
      <c r="AF76" s="5"/>
      <c r="AG76" s="3"/>
      <c r="AH76" s="3"/>
      <c r="AI76" s="3"/>
      <c r="AJ76" s="3"/>
      <c r="AK76" s="3"/>
      <c r="AL76" s="3"/>
      <c r="AM76" s="3"/>
      <c r="AN76" s="3"/>
      <c r="AO76" s="3"/>
      <c r="AP76" s="3"/>
    </row>
    <row r="77" spans="1:42" x14ac:dyDescent="0.3">
      <c r="A77" s="2"/>
      <c r="B77" s="12">
        <f t="shared" si="15"/>
        <v>6100</v>
      </c>
      <c r="C77" s="11">
        <f t="shared" si="16"/>
        <v>125</v>
      </c>
      <c r="D77" s="11">
        <f t="shared" si="17"/>
        <v>2.1815972222222224</v>
      </c>
      <c r="E77" s="15">
        <f t="shared" si="18"/>
        <v>5777.3291153713062</v>
      </c>
      <c r="F77" s="13">
        <f t="shared" si="3"/>
        <v>-3498.4947447749792</v>
      </c>
      <c r="G77" s="13">
        <f t="shared" si="4"/>
        <v>4997.0525833516949</v>
      </c>
      <c r="H77" s="13">
        <f t="shared" si="19"/>
        <v>5519.0476190476193</v>
      </c>
      <c r="I77" s="13">
        <f t="shared" si="5"/>
        <v>4997.0525833516949</v>
      </c>
      <c r="J77" s="11">
        <f t="shared" si="20"/>
        <v>1733.1987346113917</v>
      </c>
      <c r="K77" s="11">
        <f t="shared" si="6"/>
        <v>0.30805278102377665</v>
      </c>
      <c r="L77" s="11">
        <f t="shared" si="7"/>
        <v>1651.6097560975591</v>
      </c>
      <c r="M77" s="11"/>
      <c r="N77" s="11"/>
      <c r="O77" s="14">
        <f t="shared" si="8"/>
        <v>525.51219512195098</v>
      </c>
      <c r="P77" s="14"/>
      <c r="Q77" s="15">
        <f t="shared" si="21"/>
        <v>5777.3291153713062</v>
      </c>
      <c r="R77" s="15">
        <f t="shared" si="9"/>
        <v>-4125.7193592737476</v>
      </c>
      <c r="S77" s="15">
        <f t="shared" si="22"/>
        <v>0.30805278102377665</v>
      </c>
      <c r="T77" s="11">
        <f t="shared" si="28"/>
        <v>-6293.5004711577785</v>
      </c>
      <c r="U77" s="11">
        <f t="shared" si="29"/>
        <v>737.27005328139762</v>
      </c>
      <c r="V77" s="16">
        <f t="shared" si="23"/>
        <v>1520.1158492437173</v>
      </c>
      <c r="W77" s="16">
        <f t="shared" si="24"/>
        <v>-0.90975315794420941</v>
      </c>
      <c r="X77" s="16">
        <f t="shared" si="25"/>
        <v>0.66124684205579054</v>
      </c>
      <c r="Y77" s="11">
        <f t="shared" si="26"/>
        <v>0.66124684205579054</v>
      </c>
      <c r="Z77" s="16">
        <f t="shared" si="12"/>
        <v>-0.30960686500328394</v>
      </c>
      <c r="AA77" s="16">
        <f t="shared" si="13"/>
        <v>1520.1158177144059</v>
      </c>
      <c r="AB77" s="100">
        <f t="shared" si="27"/>
        <v>0.90975315794420941</v>
      </c>
      <c r="AC77" s="15">
        <f t="shared" si="14"/>
        <v>0.90975315794420941</v>
      </c>
      <c r="AD77" s="5"/>
      <c r="AE77" s="5"/>
      <c r="AF77" s="5"/>
      <c r="AG77" s="3"/>
      <c r="AH77" s="3"/>
      <c r="AI77" s="3"/>
      <c r="AJ77" s="3"/>
      <c r="AK77" s="3"/>
      <c r="AL77" s="3"/>
      <c r="AM77" s="3"/>
      <c r="AN77" s="3"/>
      <c r="AO77" s="3"/>
      <c r="AP77" s="3"/>
    </row>
    <row r="78" spans="1:42" x14ac:dyDescent="0.3">
      <c r="A78" s="2"/>
      <c r="B78" s="12">
        <f t="shared" si="15"/>
        <v>6100</v>
      </c>
      <c r="C78" s="11">
        <f t="shared" si="16"/>
        <v>130</v>
      </c>
      <c r="D78" s="11">
        <f t="shared" si="17"/>
        <v>2.2688611111111112</v>
      </c>
      <c r="E78" s="15">
        <f t="shared" si="18"/>
        <v>5777.3291153713062</v>
      </c>
      <c r="F78" s="13">
        <f t="shared" si="3"/>
        <v>-3920.691718216558</v>
      </c>
      <c r="G78" s="13">
        <f t="shared" si="4"/>
        <v>4673.1334723831815</v>
      </c>
      <c r="H78" s="13">
        <f t="shared" si="19"/>
        <v>5519.0476190476193</v>
      </c>
      <c r="I78" s="13">
        <f t="shared" si="5"/>
        <v>4673.1334723831815</v>
      </c>
      <c r="J78" s="11">
        <f t="shared" si="20"/>
        <v>1733.1987346113917</v>
      </c>
      <c r="K78" s="11">
        <f t="shared" si="6"/>
        <v>0.30805278102377665</v>
      </c>
      <c r="L78" s="11">
        <f t="shared" si="7"/>
        <v>1651.6097560975591</v>
      </c>
      <c r="M78" s="11"/>
      <c r="N78" s="11"/>
      <c r="O78" s="14">
        <f t="shared" si="8"/>
        <v>525.51219512195098</v>
      </c>
      <c r="P78" s="14"/>
      <c r="Q78" s="15">
        <f t="shared" si="21"/>
        <v>5777.3291153713062</v>
      </c>
      <c r="R78" s="15">
        <f t="shared" si="9"/>
        <v>-4125.7193592737476</v>
      </c>
      <c r="S78" s="15">
        <f t="shared" si="22"/>
        <v>0.30805278102377665</v>
      </c>
      <c r="T78" s="11">
        <f t="shared" si="28"/>
        <v>-6355.791827895061</v>
      </c>
      <c r="U78" s="11">
        <f t="shared" si="29"/>
        <v>689.47870904014155</v>
      </c>
      <c r="V78" s="16">
        <f t="shared" si="23"/>
        <v>1520.1158492437173</v>
      </c>
      <c r="W78" s="16">
        <f t="shared" si="24"/>
        <v>-0.90975315794420941</v>
      </c>
      <c r="X78" s="16">
        <f t="shared" si="25"/>
        <v>0.66124684205579054</v>
      </c>
      <c r="Y78" s="11">
        <f t="shared" si="26"/>
        <v>0.66124684205579054</v>
      </c>
      <c r="Z78" s="16">
        <f t="shared" si="12"/>
        <v>-0.30960686500328394</v>
      </c>
      <c r="AA78" s="16">
        <f t="shared" si="13"/>
        <v>1520.1158177144059</v>
      </c>
      <c r="AB78" s="100">
        <f t="shared" si="27"/>
        <v>0.90975315794420941</v>
      </c>
      <c r="AC78" s="15">
        <f t="shared" si="14"/>
        <v>0.90975315794420941</v>
      </c>
      <c r="AD78" s="5"/>
      <c r="AE78" s="5"/>
      <c r="AF78" s="5"/>
      <c r="AG78" s="3"/>
      <c r="AH78" s="3"/>
      <c r="AI78" s="3"/>
      <c r="AJ78" s="3"/>
      <c r="AK78" s="3"/>
      <c r="AL78" s="3"/>
      <c r="AM78" s="3"/>
      <c r="AN78" s="3"/>
      <c r="AO78" s="3"/>
      <c r="AP78" s="3"/>
    </row>
    <row r="79" spans="1:42" x14ac:dyDescent="0.3">
      <c r="A79" s="2"/>
      <c r="B79" s="12">
        <f t="shared" si="15"/>
        <v>6100</v>
      </c>
      <c r="C79" s="11">
        <f t="shared" si="16"/>
        <v>135</v>
      </c>
      <c r="D79" s="11">
        <f t="shared" si="17"/>
        <v>2.356125</v>
      </c>
      <c r="E79" s="15">
        <f t="shared" si="18"/>
        <v>5777.3291153713062</v>
      </c>
      <c r="F79" s="13">
        <f t="shared" si="3"/>
        <v>-4313.0516192078167</v>
      </c>
      <c r="G79" s="13">
        <f t="shared" si="4"/>
        <v>4313.6510904393772</v>
      </c>
      <c r="H79" s="13">
        <f t="shared" si="19"/>
        <v>5519.0476190476193</v>
      </c>
      <c r="I79" s="13">
        <f t="shared" si="5"/>
        <v>4313.6510904393772</v>
      </c>
      <c r="J79" s="11">
        <f t="shared" si="20"/>
        <v>1733.1987346113917</v>
      </c>
      <c r="K79" s="11">
        <f t="shared" si="6"/>
        <v>0.30805278102377665</v>
      </c>
      <c r="L79" s="11">
        <f t="shared" si="7"/>
        <v>1651.6097560975591</v>
      </c>
      <c r="M79" s="11"/>
      <c r="N79" s="11"/>
      <c r="O79" s="14">
        <f t="shared" si="8"/>
        <v>525.51219512195098</v>
      </c>
      <c r="P79" s="14"/>
      <c r="Q79" s="15">
        <f t="shared" si="21"/>
        <v>5777.3291153713062</v>
      </c>
      <c r="R79" s="15">
        <f t="shared" si="9"/>
        <v>-4125.7193592737476</v>
      </c>
      <c r="S79" s="15">
        <f t="shared" si="22"/>
        <v>0.30805278102377665</v>
      </c>
      <c r="T79" s="11">
        <f t="shared" si="28"/>
        <v>-6413.6809936150821</v>
      </c>
      <c r="U79" s="11">
        <f t="shared" si="29"/>
        <v>636.44032481892452</v>
      </c>
      <c r="V79" s="16">
        <f t="shared" si="23"/>
        <v>1520.1158492437173</v>
      </c>
      <c r="W79" s="16">
        <f t="shared" si="24"/>
        <v>-0.90975315794420941</v>
      </c>
      <c r="X79" s="16">
        <f t="shared" si="25"/>
        <v>0.66124684205579054</v>
      </c>
      <c r="Y79" s="11">
        <f t="shared" si="26"/>
        <v>0.66124684205579054</v>
      </c>
      <c r="Z79" s="16">
        <f t="shared" si="12"/>
        <v>-0.30960686500328394</v>
      </c>
      <c r="AA79" s="16">
        <f t="shared" si="13"/>
        <v>1520.1158177144059</v>
      </c>
      <c r="AB79" s="100">
        <f t="shared" si="27"/>
        <v>0.90975315794420941</v>
      </c>
      <c r="AC79" s="15">
        <f t="shared" si="14"/>
        <v>0.90975315794420941</v>
      </c>
      <c r="AD79" s="5"/>
      <c r="AE79" s="5"/>
      <c r="AF79" s="5"/>
      <c r="AG79" s="3"/>
      <c r="AH79" s="3"/>
      <c r="AI79" s="3"/>
      <c r="AJ79" s="3"/>
      <c r="AK79" s="3"/>
      <c r="AL79" s="3"/>
      <c r="AM79" s="3"/>
      <c r="AN79" s="3"/>
      <c r="AO79" s="3"/>
      <c r="AP79" s="3"/>
    </row>
    <row r="80" spans="1:42" x14ac:dyDescent="0.3">
      <c r="A80" s="2"/>
      <c r="B80" s="12">
        <f t="shared" si="15"/>
        <v>6100</v>
      </c>
      <c r="C80" s="11">
        <f t="shared" si="16"/>
        <v>140</v>
      </c>
      <c r="D80" s="11">
        <f t="shared" si="17"/>
        <v>2.4433888888888888</v>
      </c>
      <c r="E80" s="15">
        <f t="shared" si="18"/>
        <v>5777.3291153713062</v>
      </c>
      <c r="F80" s="13">
        <f t="shared" si="3"/>
        <v>-4672.5885280096227</v>
      </c>
      <c r="G80" s="13">
        <f t="shared" si="4"/>
        <v>3921.3411542370127</v>
      </c>
      <c r="H80" s="13">
        <f t="shared" si="19"/>
        <v>5519.0476190476193</v>
      </c>
      <c r="I80" s="13">
        <f t="shared" si="5"/>
        <v>3921.3411542370127</v>
      </c>
      <c r="J80" s="11">
        <f t="shared" si="20"/>
        <v>1733.1987346113917</v>
      </c>
      <c r="K80" s="11">
        <f t="shared" si="6"/>
        <v>0.30805278102377665</v>
      </c>
      <c r="L80" s="11">
        <f t="shared" si="7"/>
        <v>1651.6097560975591</v>
      </c>
      <c r="M80" s="11"/>
      <c r="N80" s="11"/>
      <c r="O80" s="14">
        <f t="shared" si="8"/>
        <v>525.51219512195098</v>
      </c>
      <c r="P80" s="14"/>
      <c r="Q80" s="15">
        <f t="shared" si="21"/>
        <v>5777.3291153713062</v>
      </c>
      <c r="R80" s="15">
        <f t="shared" si="9"/>
        <v>-4125.7193592737476</v>
      </c>
      <c r="S80" s="15">
        <f t="shared" si="22"/>
        <v>0.30805278102377665</v>
      </c>
      <c r="T80" s="11">
        <f t="shared" si="28"/>
        <v>-6466.7274227825619</v>
      </c>
      <c r="U80" s="11">
        <f t="shared" si="29"/>
        <v>578.55853095300188</v>
      </c>
      <c r="V80" s="16">
        <f t="shared" si="23"/>
        <v>1520.1158492437173</v>
      </c>
      <c r="W80" s="16">
        <f t="shared" si="24"/>
        <v>-0.90975315794420941</v>
      </c>
      <c r="X80" s="16">
        <f t="shared" si="25"/>
        <v>0.66124684205579054</v>
      </c>
      <c r="Y80" s="11">
        <f t="shared" si="26"/>
        <v>0.66124684205579054</v>
      </c>
      <c r="Z80" s="16">
        <f t="shared" si="12"/>
        <v>-0.30960686500328394</v>
      </c>
      <c r="AA80" s="16">
        <f t="shared" si="13"/>
        <v>1520.1158177144059</v>
      </c>
      <c r="AB80" s="100">
        <f t="shared" si="27"/>
        <v>0.90975315794420941</v>
      </c>
      <c r="AC80" s="15">
        <f t="shared" si="14"/>
        <v>0.90975315794420941</v>
      </c>
      <c r="AD80" s="5"/>
      <c r="AE80" s="5"/>
      <c r="AF80" s="5"/>
      <c r="AG80" s="3"/>
      <c r="AH80" s="3"/>
      <c r="AI80" s="3"/>
      <c r="AJ80" s="3"/>
      <c r="AK80" s="3"/>
      <c r="AL80" s="3"/>
      <c r="AM80" s="3"/>
      <c r="AN80" s="3"/>
      <c r="AO80" s="3"/>
      <c r="AP80" s="3"/>
    </row>
    <row r="81" spans="1:42" x14ac:dyDescent="0.3">
      <c r="A81" s="2"/>
      <c r="B81" s="12">
        <f t="shared" si="15"/>
        <v>6100</v>
      </c>
      <c r="C81" s="11">
        <f t="shared" si="16"/>
        <v>145</v>
      </c>
      <c r="D81" s="11">
        <f t="shared" si="17"/>
        <v>2.5306527777777781</v>
      </c>
      <c r="E81" s="15">
        <f t="shared" si="18"/>
        <v>5777.3291153713062</v>
      </c>
      <c r="F81" s="13">
        <f t="shared" si="3"/>
        <v>-4996.5663129473951</v>
      </c>
      <c r="G81" s="13">
        <f t="shared" si="4"/>
        <v>3499.1892032754199</v>
      </c>
      <c r="H81" s="13">
        <f t="shared" si="19"/>
        <v>5519.0476190476193</v>
      </c>
      <c r="I81" s="13">
        <f t="shared" si="5"/>
        <v>3499.1892032754199</v>
      </c>
      <c r="J81" s="11">
        <f t="shared" si="20"/>
        <v>1733.1987346113917</v>
      </c>
      <c r="K81" s="11">
        <f t="shared" si="6"/>
        <v>0.30805278102377665</v>
      </c>
      <c r="L81" s="11">
        <f t="shared" si="7"/>
        <v>1651.6097560975591</v>
      </c>
      <c r="M81" s="11"/>
      <c r="N81" s="11"/>
      <c r="O81" s="14">
        <f t="shared" si="8"/>
        <v>525.51219512195098</v>
      </c>
      <c r="P81" s="14"/>
      <c r="Q81" s="15">
        <f t="shared" si="21"/>
        <v>5777.3291153713062</v>
      </c>
      <c r="R81" s="15">
        <f t="shared" si="9"/>
        <v>-4125.7193592737476</v>
      </c>
      <c r="S81" s="15">
        <f t="shared" si="22"/>
        <v>0.30805278102377665</v>
      </c>
      <c r="T81" s="11">
        <f t="shared" si="28"/>
        <v>-6514.5274238389547</v>
      </c>
      <c r="U81" s="11">
        <f t="shared" si="29"/>
        <v>516.27381687670129</v>
      </c>
      <c r="V81" s="16">
        <f t="shared" si="23"/>
        <v>1520.1158492437173</v>
      </c>
      <c r="W81" s="16">
        <f t="shared" si="24"/>
        <v>-0.90975315794420941</v>
      </c>
      <c r="X81" s="16">
        <f t="shared" si="25"/>
        <v>0.66124684205579054</v>
      </c>
      <c r="Y81" s="11">
        <f t="shared" si="26"/>
        <v>0.66124684205579054</v>
      </c>
      <c r="Z81" s="16">
        <f t="shared" si="12"/>
        <v>-0.30960686500328394</v>
      </c>
      <c r="AA81" s="16">
        <f t="shared" si="13"/>
        <v>1520.1158177144059</v>
      </c>
      <c r="AB81" s="100">
        <f t="shared" si="27"/>
        <v>0.90975315794420941</v>
      </c>
      <c r="AC81" s="15">
        <f t="shared" si="14"/>
        <v>0.90975315794420941</v>
      </c>
      <c r="AD81" s="5"/>
      <c r="AE81" s="5"/>
      <c r="AF81" s="5"/>
      <c r="AG81" s="3"/>
      <c r="AH81" s="3"/>
      <c r="AI81" s="3"/>
      <c r="AJ81" s="3"/>
      <c r="AK81" s="3"/>
      <c r="AL81" s="3"/>
      <c r="AM81" s="3"/>
      <c r="AN81" s="3"/>
      <c r="AO81" s="3"/>
      <c r="AP81" s="3"/>
    </row>
    <row r="82" spans="1:42" x14ac:dyDescent="0.3">
      <c r="A82" s="2"/>
      <c r="B82" s="12">
        <f t="shared" si="15"/>
        <v>6100</v>
      </c>
      <c r="C82" s="11">
        <f t="shared" si="16"/>
        <v>150</v>
      </c>
      <c r="D82" s="11">
        <f t="shared" si="17"/>
        <v>2.6179166666666669</v>
      </c>
      <c r="E82" s="15">
        <f t="shared" si="18"/>
        <v>5777.3291153713062</v>
      </c>
      <c r="F82" s="13">
        <f t="shared" si="3"/>
        <v>-5282.5194527977801</v>
      </c>
      <c r="G82" s="13">
        <f t="shared" si="4"/>
        <v>3050.4078794176107</v>
      </c>
      <c r="H82" s="13">
        <f t="shared" si="19"/>
        <v>5519.0476190476193</v>
      </c>
      <c r="I82" s="13">
        <f t="shared" si="5"/>
        <v>3050.4078794176107</v>
      </c>
      <c r="J82" s="11">
        <f t="shared" si="20"/>
        <v>1733.1987346113917</v>
      </c>
      <c r="K82" s="11">
        <f t="shared" si="6"/>
        <v>0.30805278102377665</v>
      </c>
      <c r="L82" s="11">
        <f t="shared" si="7"/>
        <v>1651.6097560975591</v>
      </c>
      <c r="M82" s="11"/>
      <c r="N82" s="11"/>
      <c r="O82" s="14">
        <f t="shared" si="8"/>
        <v>525.51219512195098</v>
      </c>
      <c r="P82" s="14"/>
      <c r="Q82" s="15">
        <f t="shared" si="21"/>
        <v>5777.3291153713062</v>
      </c>
      <c r="R82" s="15">
        <f t="shared" si="9"/>
        <v>-4125.7193592737476</v>
      </c>
      <c r="S82" s="15">
        <f t="shared" si="22"/>
        <v>0.30805278102377665</v>
      </c>
      <c r="T82" s="11">
        <f t="shared" si="28"/>
        <v>-6556.717231357864</v>
      </c>
      <c r="U82" s="11">
        <f t="shared" si="29"/>
        <v>450.06017893046715</v>
      </c>
      <c r="V82" s="16">
        <f t="shared" si="23"/>
        <v>1520.1158492437173</v>
      </c>
      <c r="W82" s="16">
        <f t="shared" si="24"/>
        <v>-0.90975315794420941</v>
      </c>
      <c r="X82" s="16">
        <f t="shared" si="25"/>
        <v>0.66124684205579054</v>
      </c>
      <c r="Y82" s="11">
        <f t="shared" si="26"/>
        <v>0.66124684205579054</v>
      </c>
      <c r="Z82" s="16">
        <f t="shared" si="12"/>
        <v>-0.30960686500328394</v>
      </c>
      <c r="AA82" s="16">
        <f t="shared" si="13"/>
        <v>1520.1158177144059</v>
      </c>
      <c r="AB82" s="100">
        <f t="shared" si="27"/>
        <v>0.90975315794420941</v>
      </c>
      <c r="AC82" s="15">
        <f t="shared" si="14"/>
        <v>0.90975315794420941</v>
      </c>
      <c r="AD82" s="5"/>
      <c r="AE82" s="5"/>
      <c r="AF82" s="5"/>
      <c r="AG82" s="3"/>
      <c r="AH82" s="3"/>
      <c r="AI82" s="3"/>
      <c r="AJ82" s="3"/>
      <c r="AK82" s="3"/>
      <c r="AL82" s="3"/>
      <c r="AM82" s="3"/>
      <c r="AN82" s="3"/>
      <c r="AO82" s="3"/>
      <c r="AP82" s="3"/>
    </row>
    <row r="83" spans="1:42" x14ac:dyDescent="0.3">
      <c r="A83" s="2"/>
      <c r="B83" s="12">
        <f t="shared" si="15"/>
        <v>6100</v>
      </c>
      <c r="C83" s="11">
        <f t="shared" si="16"/>
        <v>155</v>
      </c>
      <c r="D83" s="11">
        <f t="shared" si="17"/>
        <v>2.7051805555555557</v>
      </c>
      <c r="E83" s="15">
        <f t="shared" si="18"/>
        <v>5777.3291153713062</v>
      </c>
      <c r="F83" s="13">
        <f t="shared" si="3"/>
        <v>-5528.2717997878044</v>
      </c>
      <c r="G83" s="13">
        <f t="shared" si="4"/>
        <v>2578.4124781870942</v>
      </c>
      <c r="H83" s="13">
        <f t="shared" si="19"/>
        <v>5519.0476190476193</v>
      </c>
      <c r="I83" s="13">
        <f t="shared" si="5"/>
        <v>2578.4124781870942</v>
      </c>
      <c r="J83" s="11">
        <f t="shared" si="20"/>
        <v>1733.1987346113917</v>
      </c>
      <c r="K83" s="11">
        <f t="shared" si="6"/>
        <v>0.30805278102377665</v>
      </c>
      <c r="L83" s="11">
        <f t="shared" si="7"/>
        <v>1651.6097560975591</v>
      </c>
      <c r="M83" s="11"/>
      <c r="N83" s="11"/>
      <c r="O83" s="14">
        <f t="shared" si="8"/>
        <v>525.51219512195098</v>
      </c>
      <c r="P83" s="14"/>
      <c r="Q83" s="15">
        <f t="shared" si="21"/>
        <v>5777.3291153713062</v>
      </c>
      <c r="R83" s="15">
        <f t="shared" si="9"/>
        <v>-4125.7193592737476</v>
      </c>
      <c r="S83" s="15">
        <f t="shared" si="22"/>
        <v>0.30805278102377665</v>
      </c>
      <c r="T83" s="11">
        <f t="shared" si="28"/>
        <v>-6592.9757743563923</v>
      </c>
      <c r="U83" s="11">
        <f t="shared" si="29"/>
        <v>380.42151317514504</v>
      </c>
      <c r="V83" s="16">
        <f t="shared" si="23"/>
        <v>1520.1158492437173</v>
      </c>
      <c r="W83" s="16">
        <f t="shared" si="24"/>
        <v>-0.90975315794420941</v>
      </c>
      <c r="X83" s="16">
        <f t="shared" si="25"/>
        <v>0.66124684205579054</v>
      </c>
      <c r="Y83" s="11">
        <f t="shared" si="26"/>
        <v>0.66124684205579054</v>
      </c>
      <c r="Z83" s="16">
        <f t="shared" si="12"/>
        <v>-0.30960686500328394</v>
      </c>
      <c r="AA83" s="16">
        <f t="shared" si="13"/>
        <v>1520.1158177144059</v>
      </c>
      <c r="AB83" s="100">
        <f t="shared" si="27"/>
        <v>0.90975315794420941</v>
      </c>
      <c r="AC83" s="15">
        <f t="shared" si="14"/>
        <v>0.90975315794420941</v>
      </c>
      <c r="AD83" s="5"/>
      <c r="AE83" s="5"/>
      <c r="AF83" s="5"/>
      <c r="AG83" s="3"/>
      <c r="AH83" s="3"/>
      <c r="AI83" s="3"/>
      <c r="AJ83" s="3"/>
      <c r="AK83" s="3"/>
      <c r="AL83" s="3"/>
      <c r="AM83" s="3"/>
      <c r="AN83" s="3"/>
      <c r="AO83" s="3"/>
      <c r="AP83" s="3"/>
    </row>
    <row r="84" spans="1:42" x14ac:dyDescent="0.3">
      <c r="A84" s="2"/>
      <c r="B84" s="12">
        <f t="shared" si="15"/>
        <v>6100</v>
      </c>
      <c r="C84" s="11">
        <f t="shared" si="16"/>
        <v>160</v>
      </c>
      <c r="D84" s="11">
        <f t="shared" si="17"/>
        <v>2.7924444444444445</v>
      </c>
      <c r="E84" s="15">
        <f t="shared" si="18"/>
        <v>5777.3291153713062</v>
      </c>
      <c r="F84" s="13">
        <f t="shared" si="3"/>
        <v>-5731.9531404171548</v>
      </c>
      <c r="G84" s="13">
        <f t="shared" si="4"/>
        <v>2086.7949578389153</v>
      </c>
      <c r="H84" s="13">
        <f t="shared" si="19"/>
        <v>5519.0476190476193</v>
      </c>
      <c r="I84" s="13">
        <f t="shared" si="5"/>
        <v>2086.7949578389153</v>
      </c>
      <c r="J84" s="11">
        <f t="shared" si="20"/>
        <v>1733.1987346113917</v>
      </c>
      <c r="K84" s="11">
        <f t="shared" si="6"/>
        <v>0.30805278102377665</v>
      </c>
      <c r="L84" s="11">
        <f t="shared" si="7"/>
        <v>1651.6097560975591</v>
      </c>
      <c r="M84" s="11"/>
      <c r="N84" s="11"/>
      <c r="O84" s="14">
        <f t="shared" si="8"/>
        <v>525.51219512195098</v>
      </c>
      <c r="P84" s="14"/>
      <c r="Q84" s="15">
        <f t="shared" si="21"/>
        <v>5777.3291153713062</v>
      </c>
      <c r="R84" s="15">
        <f t="shared" si="9"/>
        <v>-4125.7193592737476</v>
      </c>
      <c r="S84" s="15">
        <f t="shared" si="22"/>
        <v>0.30805278102377665</v>
      </c>
      <c r="T84" s="11">
        <f t="shared" si="28"/>
        <v>-6623.0271196951489</v>
      </c>
      <c r="U84" s="11">
        <f t="shared" si="29"/>
        <v>307.887780664758</v>
      </c>
      <c r="V84" s="16">
        <f t="shared" si="23"/>
        <v>1520.1158492437173</v>
      </c>
      <c r="W84" s="16">
        <f t="shared" si="24"/>
        <v>-0.90975315794420941</v>
      </c>
      <c r="X84" s="16">
        <f t="shared" si="25"/>
        <v>0.66124684205579054</v>
      </c>
      <c r="Y84" s="11">
        <f t="shared" si="26"/>
        <v>0.66124684205579054</v>
      </c>
      <c r="Z84" s="16">
        <f t="shared" si="12"/>
        <v>-0.30960686500328394</v>
      </c>
      <c r="AA84" s="16">
        <f t="shared" si="13"/>
        <v>1520.1158177144059</v>
      </c>
      <c r="AB84" s="100">
        <f t="shared" si="27"/>
        <v>0.90975315794420941</v>
      </c>
      <c r="AC84" s="15">
        <f t="shared" si="14"/>
        <v>0.90975315794420941</v>
      </c>
      <c r="AD84" s="5"/>
      <c r="AE84" s="5"/>
      <c r="AF84" s="5"/>
      <c r="AG84" s="3"/>
      <c r="AH84" s="3"/>
      <c r="AI84" s="3"/>
      <c r="AJ84" s="3"/>
      <c r="AK84" s="3"/>
      <c r="AL84" s="3"/>
      <c r="AM84" s="3"/>
      <c r="AN84" s="3"/>
      <c r="AO84" s="3"/>
      <c r="AP84" s="3"/>
    </row>
    <row r="85" spans="1:42" x14ac:dyDescent="0.3">
      <c r="A85" s="2"/>
      <c r="B85" s="12">
        <f t="shared" si="15"/>
        <v>6100</v>
      </c>
      <c r="C85" s="11">
        <f t="shared" si="16"/>
        <v>165</v>
      </c>
      <c r="D85" s="11">
        <f t="shared" si="17"/>
        <v>2.8797083333333338</v>
      </c>
      <c r="E85" s="15">
        <f t="shared" si="18"/>
        <v>5777.3291153713062</v>
      </c>
      <c r="F85" s="13">
        <f t="shared" si="3"/>
        <v>-5892.0134280731645</v>
      </c>
      <c r="G85" s="13">
        <f t="shared" si="4"/>
        <v>1579.2966039998705</v>
      </c>
      <c r="H85" s="13">
        <f t="shared" si="19"/>
        <v>5519.0476190476193</v>
      </c>
      <c r="I85" s="13">
        <f t="shared" si="5"/>
        <v>1579.2966039998705</v>
      </c>
      <c r="J85" s="11">
        <f t="shared" si="20"/>
        <v>1733.1987346113917</v>
      </c>
      <c r="K85" s="11">
        <f t="shared" si="6"/>
        <v>0.30805278102377665</v>
      </c>
      <c r="L85" s="11">
        <f t="shared" si="7"/>
        <v>1651.6097560975591</v>
      </c>
      <c r="M85" s="11"/>
      <c r="N85" s="11"/>
      <c r="O85" s="14">
        <f t="shared" si="8"/>
        <v>525.51219512195098</v>
      </c>
      <c r="P85" s="14"/>
      <c r="Q85" s="15">
        <f t="shared" si="21"/>
        <v>5777.3291153713062</v>
      </c>
      <c r="R85" s="15">
        <f t="shared" si="9"/>
        <v>-4125.7193592737476</v>
      </c>
      <c r="S85" s="15">
        <f t="shared" si="22"/>
        <v>0.30805278102377665</v>
      </c>
      <c r="T85" s="11">
        <f t="shared" si="28"/>
        <v>-6646.6425719722647</v>
      </c>
      <c r="U85" s="11">
        <f t="shared" si="29"/>
        <v>233.01097436063665</v>
      </c>
      <c r="V85" s="16">
        <f t="shared" si="23"/>
        <v>1520.1158492437173</v>
      </c>
      <c r="W85" s="16">
        <f t="shared" si="24"/>
        <v>-0.90975315794420941</v>
      </c>
      <c r="X85" s="16">
        <f t="shared" si="25"/>
        <v>0.66124684205579054</v>
      </c>
      <c r="Y85" s="11">
        <f t="shared" si="26"/>
        <v>0.66124684205579054</v>
      </c>
      <c r="Z85" s="16">
        <f t="shared" si="12"/>
        <v>-0.30960686500328394</v>
      </c>
      <c r="AA85" s="16">
        <f t="shared" si="13"/>
        <v>1520.1158177144059</v>
      </c>
      <c r="AB85" s="100">
        <f t="shared" si="27"/>
        <v>0.90975315794420941</v>
      </c>
      <c r="AC85" s="15">
        <f t="shared" si="14"/>
        <v>0.90975315794420941</v>
      </c>
      <c r="AD85" s="5"/>
      <c r="AE85" s="5"/>
      <c r="AF85" s="5"/>
      <c r="AG85" s="3"/>
      <c r="AH85" s="3"/>
      <c r="AI85" s="3"/>
      <c r="AJ85" s="3"/>
      <c r="AK85" s="3"/>
      <c r="AL85" s="3"/>
      <c r="AM85" s="3"/>
      <c r="AN85" s="3"/>
      <c r="AO85" s="3"/>
      <c r="AP85" s="3"/>
    </row>
    <row r="86" spans="1:42" x14ac:dyDescent="0.3">
      <c r="A86" s="2"/>
      <c r="B86" s="12">
        <f t="shared" si="15"/>
        <v>6100</v>
      </c>
      <c r="C86" s="11">
        <f t="shared" si="16"/>
        <v>170</v>
      </c>
      <c r="D86" s="11">
        <f t="shared" si="17"/>
        <v>2.9669722222222226</v>
      </c>
      <c r="E86" s="15">
        <f t="shared" si="18"/>
        <v>5777.3291153713062</v>
      </c>
      <c r="F86" s="13">
        <f t="shared" si="3"/>
        <v>-6007.2345791260914</v>
      </c>
      <c r="G86" s="13">
        <f t="shared" si="4"/>
        <v>1059.7795579042686</v>
      </c>
      <c r="H86" s="13">
        <f t="shared" si="19"/>
        <v>5519.0476190476193</v>
      </c>
      <c r="I86" s="13">
        <f t="shared" si="5"/>
        <v>1059.7795579042686</v>
      </c>
      <c r="J86" s="11">
        <f t="shared" si="20"/>
        <v>1733.1987346113917</v>
      </c>
      <c r="K86" s="11">
        <f t="shared" si="6"/>
        <v>0.30805278102377665</v>
      </c>
      <c r="L86" s="11">
        <f t="shared" si="7"/>
        <v>1651.6097560975591</v>
      </c>
      <c r="M86" s="11"/>
      <c r="N86" s="11"/>
      <c r="O86" s="14">
        <f t="shared" si="8"/>
        <v>525.51219512195098</v>
      </c>
      <c r="P86" s="14"/>
      <c r="Q86" s="15">
        <f t="shared" si="21"/>
        <v>5777.3291153713062</v>
      </c>
      <c r="R86" s="15">
        <f t="shared" si="9"/>
        <v>-4125.7193592737476</v>
      </c>
      <c r="S86" s="15">
        <f t="shared" si="22"/>
        <v>0.30805278102377665</v>
      </c>
      <c r="T86" s="11">
        <f t="shared" si="28"/>
        <v>-6663.6424139308938</v>
      </c>
      <c r="U86" s="11">
        <f t="shared" si="29"/>
        <v>156.36091837931832</v>
      </c>
      <c r="V86" s="16">
        <f t="shared" si="23"/>
        <v>1520.1158492437173</v>
      </c>
      <c r="W86" s="16">
        <f t="shared" si="24"/>
        <v>-0.90975315794420941</v>
      </c>
      <c r="X86" s="16">
        <f t="shared" si="25"/>
        <v>0.66124684205579054</v>
      </c>
      <c r="Y86" s="11">
        <f t="shared" si="26"/>
        <v>0.66124684205579054</v>
      </c>
      <c r="Z86" s="16">
        <f t="shared" si="12"/>
        <v>-0.30960686500328394</v>
      </c>
      <c r="AA86" s="16">
        <f t="shared" si="13"/>
        <v>1520.1158177144059</v>
      </c>
      <c r="AB86" s="100">
        <f t="shared" si="27"/>
        <v>0.90975315794420941</v>
      </c>
      <c r="AC86" s="15">
        <f t="shared" si="14"/>
        <v>0.90975315794420941</v>
      </c>
      <c r="AD86" s="5"/>
      <c r="AE86" s="5"/>
      <c r="AF86" s="5"/>
      <c r="AG86" s="3"/>
      <c r="AH86" s="3"/>
      <c r="AI86" s="3"/>
      <c r="AJ86" s="3"/>
      <c r="AK86" s="3"/>
      <c r="AL86" s="3"/>
      <c r="AM86" s="3"/>
      <c r="AN86" s="3"/>
      <c r="AO86" s="3"/>
      <c r="AP86" s="3"/>
    </row>
    <row r="87" spans="1:42" x14ac:dyDescent="0.3">
      <c r="A87" s="2"/>
      <c r="B87" s="12">
        <f t="shared" si="15"/>
        <v>6100</v>
      </c>
      <c r="C87" s="11">
        <f t="shared" si="16"/>
        <v>175</v>
      </c>
      <c r="D87" s="11">
        <f t="shared" si="17"/>
        <v>3.0542361111111114</v>
      </c>
      <c r="E87" s="15">
        <f t="shared" si="18"/>
        <v>5777.3291153713062</v>
      </c>
      <c r="F87" s="13">
        <f t="shared" si="3"/>
        <v>-6076.7397427345932</v>
      </c>
      <c r="G87" s="13">
        <f t="shared" si="4"/>
        <v>532.19742489973157</v>
      </c>
      <c r="H87" s="13">
        <f t="shared" si="19"/>
        <v>5519.0476190476193</v>
      </c>
      <c r="I87" s="13">
        <f t="shared" si="5"/>
        <v>532.19742489973157</v>
      </c>
      <c r="J87" s="11">
        <f t="shared" si="20"/>
        <v>1733.1987346113917</v>
      </c>
      <c r="K87" s="11">
        <f t="shared" si="6"/>
        <v>0.30805278102377665</v>
      </c>
      <c r="L87" s="11">
        <f t="shared" si="7"/>
        <v>1651.6097560975591</v>
      </c>
      <c r="M87" s="11"/>
      <c r="N87" s="11"/>
      <c r="O87" s="14">
        <f t="shared" si="8"/>
        <v>525.51219512195098</v>
      </c>
      <c r="P87" s="14"/>
      <c r="Q87" s="15">
        <f t="shared" si="21"/>
        <v>5777.3291153713062</v>
      </c>
      <c r="R87" s="15">
        <f t="shared" si="9"/>
        <v>-4125.7193592737476</v>
      </c>
      <c r="S87" s="15">
        <f t="shared" si="22"/>
        <v>0.30805278102377665</v>
      </c>
      <c r="T87" s="11">
        <f t="shared" si="28"/>
        <v>-6673.8972741354264</v>
      </c>
      <c r="U87" s="11">
        <f t="shared" si="29"/>
        <v>78.520931542583341</v>
      </c>
      <c r="V87" s="16">
        <f t="shared" si="23"/>
        <v>1520.1158492437173</v>
      </c>
      <c r="W87" s="16">
        <f t="shared" si="24"/>
        <v>-0.90975315794420941</v>
      </c>
      <c r="X87" s="16">
        <f t="shared" si="25"/>
        <v>0.66124684205579054</v>
      </c>
      <c r="Y87" s="11">
        <f t="shared" si="26"/>
        <v>0.66124684205579054</v>
      </c>
      <c r="Z87" s="16">
        <f t="shared" si="12"/>
        <v>-0.30960686500328394</v>
      </c>
      <c r="AA87" s="16">
        <f t="shared" si="13"/>
        <v>1520.1158177144059</v>
      </c>
      <c r="AB87" s="100">
        <f t="shared" si="27"/>
        <v>0.90975315794420941</v>
      </c>
      <c r="AC87" s="15">
        <f t="shared" si="14"/>
        <v>0.90975315794420941</v>
      </c>
      <c r="AD87" s="5"/>
      <c r="AE87" s="5"/>
      <c r="AF87" s="5"/>
      <c r="AG87" s="3"/>
      <c r="AH87" s="3"/>
      <c r="AI87" s="3"/>
      <c r="AJ87" s="3"/>
      <c r="AK87" s="3"/>
      <c r="AL87" s="3"/>
      <c r="AM87" s="3"/>
      <c r="AN87" s="3"/>
      <c r="AO87" s="3"/>
      <c r="AP87" s="3"/>
    </row>
    <row r="88" spans="1:42" x14ac:dyDescent="0.3">
      <c r="A88" s="2"/>
      <c r="B88" s="12">
        <f t="shared" si="15"/>
        <v>6100</v>
      </c>
      <c r="C88" s="11">
        <f t="shared" si="16"/>
        <v>180</v>
      </c>
      <c r="D88" s="11">
        <f t="shared" si="17"/>
        <v>3.1415000000000002</v>
      </c>
      <c r="E88" s="15">
        <f t="shared" si="18"/>
        <v>5777.3291153713062</v>
      </c>
      <c r="F88" s="13">
        <f t="shared" si="3"/>
        <v>-6099.9999738167025</v>
      </c>
      <c r="G88" s="13">
        <f t="shared" si="4"/>
        <v>0.56518689692899082</v>
      </c>
      <c r="H88" s="13">
        <f t="shared" si="19"/>
        <v>5519.0476190476193</v>
      </c>
      <c r="I88" s="13">
        <f t="shared" si="5"/>
        <v>0.56518689692899082</v>
      </c>
      <c r="J88" s="11">
        <f t="shared" si="20"/>
        <v>1733.1987346113917</v>
      </c>
      <c r="K88" s="11">
        <f t="shared" si="6"/>
        <v>0.30805278102377665</v>
      </c>
      <c r="L88" s="11">
        <f t="shared" si="7"/>
        <v>1651.6097560975591</v>
      </c>
      <c r="M88" s="11"/>
      <c r="N88" s="11"/>
      <c r="O88" s="14">
        <f t="shared" si="8"/>
        <v>525.51219512195098</v>
      </c>
      <c r="P88" s="14"/>
      <c r="Q88" s="15">
        <f t="shared" si="21"/>
        <v>5777.3291153713062</v>
      </c>
      <c r="R88" s="15">
        <f t="shared" si="9"/>
        <v>-4125.7193592737476</v>
      </c>
      <c r="S88" s="15">
        <f t="shared" si="22"/>
        <v>0.30805278102377665</v>
      </c>
      <c r="T88" s="11">
        <f t="shared" si="28"/>
        <v>-6677.3291115081965</v>
      </c>
      <c r="U88" s="11">
        <f t="shared" si="29"/>
        <v>8.3388230694441262E-2</v>
      </c>
      <c r="V88" s="16">
        <f t="shared" si="23"/>
        <v>1520.1158492437173</v>
      </c>
      <c r="W88" s="16"/>
      <c r="X88" s="16">
        <f t="shared" si="25"/>
        <v>0.66124684205579054</v>
      </c>
      <c r="Y88" s="11">
        <f t="shared" si="26"/>
        <v>0.66124684205579054</v>
      </c>
      <c r="Z88" s="16">
        <f t="shared" si="12"/>
        <v>-0.30960686500328394</v>
      </c>
      <c r="AA88" s="16">
        <f t="shared" si="13"/>
        <v>1520.1158177144059</v>
      </c>
      <c r="AB88" s="100">
        <f t="shared" si="27"/>
        <v>0.90975315794420941</v>
      </c>
      <c r="AC88" s="15">
        <f t="shared" si="14"/>
        <v>0.90975315794420941</v>
      </c>
      <c r="AD88" s="5"/>
      <c r="AE88" s="5"/>
      <c r="AF88" s="5"/>
      <c r="AG88" s="3"/>
      <c r="AH88" s="3"/>
      <c r="AI88" s="3"/>
      <c r="AJ88" s="3"/>
      <c r="AK88" s="3"/>
      <c r="AL88" s="3"/>
      <c r="AM88" s="3"/>
      <c r="AN88" s="3"/>
      <c r="AO88" s="3"/>
      <c r="AP88" s="3"/>
    </row>
    <row r="89" spans="1:42" x14ac:dyDescent="0.3">
      <c r="A89" s="3"/>
      <c r="B89" s="15"/>
      <c r="C89" s="15"/>
      <c r="D89" s="15"/>
      <c r="E89" s="15"/>
      <c r="F89" s="15"/>
      <c r="G89" s="15"/>
      <c r="H89" s="15"/>
      <c r="I89" s="15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11"/>
      <c r="Y89" s="11"/>
      <c r="Z89" s="11"/>
      <c r="AA89" s="11"/>
      <c r="AB89" s="11"/>
      <c r="AC89" s="15"/>
      <c r="AD89" s="5"/>
      <c r="AE89" s="5"/>
      <c r="AF89" s="5"/>
      <c r="AG89" s="3"/>
      <c r="AH89" s="3"/>
      <c r="AI89" s="3"/>
      <c r="AJ89" s="3"/>
      <c r="AK89" s="3"/>
      <c r="AL89" s="3"/>
      <c r="AM89" s="3"/>
      <c r="AN89" s="3"/>
      <c r="AO89" s="3"/>
      <c r="AP89" s="3"/>
    </row>
    <row r="90" spans="1:42" x14ac:dyDescent="0.3">
      <c r="A90" s="3"/>
      <c r="B90" s="1"/>
      <c r="C90" s="1"/>
      <c r="D90" s="1"/>
      <c r="E90" s="1"/>
      <c r="F90" s="1"/>
      <c r="G90" s="1"/>
      <c r="H90" s="1"/>
      <c r="I90" s="1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2"/>
      <c r="Y90" s="2"/>
      <c r="Z90" s="3"/>
      <c r="AA90" s="3"/>
      <c r="AB90" s="3"/>
      <c r="AC90" s="5"/>
      <c r="AD90" s="5"/>
      <c r="AE90" s="5"/>
      <c r="AF90" s="5"/>
      <c r="AG90" s="3"/>
      <c r="AH90" s="3"/>
      <c r="AI90" s="3"/>
      <c r="AJ90" s="3"/>
      <c r="AK90" s="3"/>
      <c r="AL90" s="3"/>
      <c r="AM90" s="3"/>
      <c r="AN90" s="3"/>
      <c r="AO90" s="3"/>
      <c r="AP90" s="3"/>
    </row>
    <row r="91" spans="1:42" x14ac:dyDescent="0.3">
      <c r="A91" s="3"/>
      <c r="B91" s="1"/>
      <c r="C91" s="1"/>
      <c r="D91" s="1"/>
      <c r="E91" s="1"/>
      <c r="F91" s="1"/>
      <c r="G91" s="1"/>
      <c r="H91" s="1"/>
      <c r="I91" s="1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2"/>
      <c r="Y91" s="2"/>
      <c r="Z91" s="3"/>
      <c r="AA91" s="3"/>
      <c r="AB91" s="3"/>
      <c r="AC91" s="5"/>
      <c r="AD91" s="5"/>
      <c r="AE91" s="5"/>
      <c r="AF91" s="5"/>
      <c r="AG91" s="3"/>
      <c r="AH91" s="3"/>
      <c r="AI91" s="3"/>
      <c r="AJ91" s="3"/>
      <c r="AK91" s="3"/>
      <c r="AL91" s="3"/>
      <c r="AM91" s="3"/>
      <c r="AN91" s="3"/>
      <c r="AO91" s="3"/>
      <c r="AP91" s="3"/>
    </row>
    <row r="92" spans="1:42" x14ac:dyDescent="0.3">
      <c r="A92" s="3"/>
      <c r="B92" s="1"/>
      <c r="C92" s="1"/>
      <c r="D92" s="1"/>
      <c r="E92" s="1"/>
      <c r="F92" s="1"/>
      <c r="G92" s="1"/>
      <c r="H92" s="1"/>
      <c r="I92" s="1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2"/>
      <c r="Y92" s="2"/>
      <c r="Z92" s="3"/>
      <c r="AA92" s="3"/>
      <c r="AB92" s="3"/>
      <c r="AC92" s="5"/>
      <c r="AD92" s="5"/>
      <c r="AE92" s="5"/>
      <c r="AF92" s="5"/>
      <c r="AG92" s="3"/>
      <c r="AH92" s="3"/>
      <c r="AI92" s="3"/>
      <c r="AJ92" s="3"/>
      <c r="AK92" s="3"/>
      <c r="AL92" s="3"/>
      <c r="AM92" s="3"/>
      <c r="AN92" s="3"/>
      <c r="AO92" s="3"/>
      <c r="AP92" s="3"/>
    </row>
    <row r="93" spans="1:42" x14ac:dyDescent="0.3">
      <c r="A93" s="3"/>
      <c r="B93" s="1"/>
      <c r="C93" s="1"/>
      <c r="D93" s="1"/>
      <c r="E93" s="1"/>
      <c r="F93" s="1"/>
      <c r="G93" s="1"/>
      <c r="H93" s="1"/>
      <c r="I93" s="1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2"/>
      <c r="Y93" s="2"/>
      <c r="Z93" s="3"/>
      <c r="AA93" s="3"/>
      <c r="AB93" s="3"/>
      <c r="AC93" s="5"/>
      <c r="AD93" s="5"/>
      <c r="AE93" s="5"/>
      <c r="AF93" s="5"/>
      <c r="AG93" s="3"/>
      <c r="AH93" s="3"/>
      <c r="AI93" s="3"/>
      <c r="AJ93" s="3"/>
      <c r="AK93" s="3"/>
      <c r="AL93" s="3"/>
      <c r="AM93" s="3"/>
      <c r="AN93" s="3"/>
      <c r="AO93" s="3"/>
      <c r="AP93" s="3"/>
    </row>
    <row r="94" spans="1:42" x14ac:dyDescent="0.3">
      <c r="A94" s="3"/>
      <c r="B94" s="1"/>
      <c r="C94" s="1"/>
      <c r="D94" s="1"/>
      <c r="E94" s="1"/>
      <c r="F94" s="1"/>
      <c r="G94" s="1"/>
      <c r="H94" s="1"/>
      <c r="I94" s="1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2"/>
      <c r="Y94" s="2"/>
      <c r="Z94" s="3"/>
      <c r="AA94" s="3"/>
      <c r="AB94" s="3"/>
      <c r="AC94" s="5"/>
      <c r="AD94" s="5"/>
      <c r="AE94" s="5"/>
      <c r="AF94" s="5"/>
      <c r="AG94" s="3"/>
      <c r="AH94" s="3"/>
      <c r="AI94" s="3"/>
      <c r="AJ94" s="3"/>
      <c r="AK94" s="3"/>
      <c r="AL94" s="3"/>
      <c r="AM94" s="3"/>
      <c r="AN94" s="3"/>
      <c r="AO94" s="3"/>
      <c r="AP94" s="3"/>
    </row>
    <row r="95" spans="1:42" x14ac:dyDescent="0.3">
      <c r="A95" s="3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5"/>
      <c r="AA95" s="5"/>
      <c r="AB95" s="5"/>
      <c r="AC95" s="5"/>
      <c r="AD95" s="5"/>
      <c r="AE95" s="5"/>
      <c r="AF95" s="5"/>
      <c r="AG95" s="3"/>
      <c r="AH95" s="3"/>
      <c r="AI95" s="3"/>
      <c r="AJ95" s="3"/>
      <c r="AK95" s="3"/>
      <c r="AL95" s="3"/>
      <c r="AM95" s="3"/>
      <c r="AN95" s="3"/>
      <c r="AO95" s="3"/>
      <c r="AP95" s="3"/>
    </row>
    <row r="96" spans="1:42" x14ac:dyDescent="0.3">
      <c r="A96" s="3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5"/>
      <c r="AA96" s="5"/>
      <c r="AB96" s="5"/>
      <c r="AC96" s="5"/>
      <c r="AD96" s="5"/>
      <c r="AE96" s="5"/>
      <c r="AF96" s="5"/>
      <c r="AG96" s="3"/>
      <c r="AH96" s="3"/>
      <c r="AI96" s="3"/>
      <c r="AJ96" s="3"/>
      <c r="AK96" s="3"/>
      <c r="AL96" s="3"/>
      <c r="AM96" s="3"/>
      <c r="AN96" s="3"/>
      <c r="AO96" s="3"/>
      <c r="AP96" s="3"/>
    </row>
    <row r="97" spans="1:42" x14ac:dyDescent="0.3">
      <c r="A97" s="3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5"/>
      <c r="AA97" s="5"/>
      <c r="AB97" s="5"/>
      <c r="AC97" s="5"/>
      <c r="AD97" s="5"/>
      <c r="AE97" s="5"/>
      <c r="AF97" s="5"/>
      <c r="AG97" s="3"/>
      <c r="AH97" s="3"/>
      <c r="AI97" s="3"/>
      <c r="AJ97" s="3"/>
      <c r="AK97" s="3"/>
      <c r="AL97" s="3"/>
      <c r="AM97" s="3"/>
      <c r="AN97" s="3"/>
      <c r="AO97" s="3"/>
      <c r="AP97" s="3"/>
    </row>
    <row r="98" spans="1:42" x14ac:dyDescent="0.3">
      <c r="A98" s="3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5"/>
      <c r="AA98" s="5"/>
      <c r="AB98" s="5"/>
      <c r="AC98" s="5"/>
      <c r="AD98" s="5"/>
      <c r="AE98" s="5"/>
      <c r="AF98" s="5"/>
      <c r="AG98" s="3"/>
      <c r="AH98" s="3"/>
      <c r="AI98" s="3"/>
      <c r="AJ98" s="3"/>
      <c r="AK98" s="3"/>
      <c r="AL98" s="3"/>
      <c r="AM98" s="3"/>
      <c r="AN98" s="3"/>
      <c r="AO98" s="3"/>
      <c r="AP98" s="3"/>
    </row>
    <row r="99" spans="1:42" x14ac:dyDescent="0.3">
      <c r="A99" s="3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5"/>
      <c r="AA99" s="5"/>
      <c r="AB99" s="5"/>
      <c r="AC99" s="5"/>
      <c r="AD99" s="5"/>
      <c r="AE99" s="5"/>
      <c r="AF99" s="5"/>
      <c r="AG99" s="3"/>
      <c r="AH99" s="3"/>
      <c r="AI99" s="3"/>
      <c r="AJ99" s="3"/>
      <c r="AK99" s="3"/>
      <c r="AL99" s="3"/>
      <c r="AM99" s="3"/>
      <c r="AN99" s="3"/>
      <c r="AO99" s="3"/>
      <c r="AP99" s="3"/>
    </row>
    <row r="100" spans="1:42" x14ac:dyDescent="0.3">
      <c r="A100" s="3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5"/>
      <c r="AA100" s="5"/>
      <c r="AB100" s="5"/>
      <c r="AC100" s="5"/>
      <c r="AD100" s="5"/>
      <c r="AE100" s="5"/>
      <c r="AF100" s="5"/>
      <c r="AG100" s="3"/>
      <c r="AH100" s="3"/>
      <c r="AI100" s="3"/>
      <c r="AJ100" s="3"/>
      <c r="AK100" s="3"/>
      <c r="AL100" s="3"/>
      <c r="AM100" s="3"/>
      <c r="AN100" s="3"/>
      <c r="AO100" s="3"/>
      <c r="AP100" s="3"/>
    </row>
    <row r="101" spans="1:42" x14ac:dyDescent="0.3">
      <c r="A101" s="3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5"/>
      <c r="AA101" s="5"/>
      <c r="AB101" s="5"/>
      <c r="AC101" s="5"/>
      <c r="AD101" s="5"/>
      <c r="AE101" s="5"/>
      <c r="AF101" s="5"/>
      <c r="AG101" s="3"/>
      <c r="AH101" s="3"/>
      <c r="AI101" s="3"/>
      <c r="AJ101" s="3"/>
      <c r="AK101" s="3"/>
      <c r="AL101" s="3"/>
      <c r="AM101" s="3"/>
      <c r="AN101" s="3"/>
      <c r="AO101" s="3"/>
      <c r="AP101" s="3"/>
    </row>
    <row r="102" spans="1:42" x14ac:dyDescent="0.3">
      <c r="A102" s="3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5"/>
      <c r="AA102" s="5"/>
      <c r="AB102" s="5"/>
      <c r="AC102" s="5"/>
      <c r="AD102" s="5"/>
      <c r="AE102" s="5"/>
      <c r="AF102" s="5"/>
      <c r="AG102" s="3"/>
      <c r="AH102" s="3"/>
      <c r="AI102" s="3"/>
      <c r="AJ102" s="3"/>
      <c r="AK102" s="3"/>
      <c r="AL102" s="3"/>
      <c r="AM102" s="3"/>
      <c r="AN102" s="3"/>
      <c r="AO102" s="3"/>
      <c r="AP102" s="3"/>
    </row>
    <row r="103" spans="1:42" x14ac:dyDescent="0.3">
      <c r="A103" s="3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5"/>
      <c r="AA103" s="5"/>
      <c r="AB103" s="5"/>
      <c r="AC103" s="5"/>
      <c r="AD103" s="5"/>
      <c r="AE103" s="5"/>
      <c r="AF103" s="5"/>
      <c r="AG103" s="3"/>
      <c r="AH103" s="3"/>
      <c r="AI103" s="3"/>
      <c r="AJ103" s="3"/>
      <c r="AK103" s="3"/>
      <c r="AL103" s="3"/>
      <c r="AM103" s="3"/>
      <c r="AN103" s="3"/>
      <c r="AO103" s="3"/>
      <c r="AP103" s="3"/>
    </row>
    <row r="104" spans="1:42" x14ac:dyDescent="0.3">
      <c r="A104" s="3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5"/>
      <c r="AA104" s="5"/>
      <c r="AB104" s="5"/>
      <c r="AC104" s="5"/>
      <c r="AD104" s="5"/>
      <c r="AE104" s="5"/>
      <c r="AF104" s="5"/>
      <c r="AG104" s="3"/>
      <c r="AH104" s="3"/>
      <c r="AI104" s="3"/>
      <c r="AJ104" s="3"/>
      <c r="AK104" s="3"/>
      <c r="AL104" s="3"/>
      <c r="AM104" s="3"/>
      <c r="AN104" s="3"/>
      <c r="AO104" s="3"/>
      <c r="AP104" s="3"/>
    </row>
    <row r="105" spans="1:42" x14ac:dyDescent="0.3">
      <c r="A105" s="3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5"/>
      <c r="AA105" s="5"/>
      <c r="AB105" s="5"/>
      <c r="AC105" s="5"/>
      <c r="AD105" s="5"/>
      <c r="AE105" s="5"/>
      <c r="AF105" s="5"/>
      <c r="AG105" s="3"/>
      <c r="AH105" s="3"/>
      <c r="AI105" s="3"/>
      <c r="AJ105" s="3"/>
      <c r="AK105" s="3"/>
      <c r="AL105" s="3"/>
      <c r="AM105" s="3"/>
      <c r="AN105" s="3"/>
      <c r="AO105" s="3"/>
      <c r="AP105" s="3"/>
    </row>
    <row r="106" spans="1:42" x14ac:dyDescent="0.3">
      <c r="A106" s="3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5"/>
      <c r="AA106" s="5"/>
      <c r="AB106" s="5"/>
      <c r="AC106" s="5"/>
      <c r="AD106" s="5"/>
      <c r="AE106" s="5"/>
      <c r="AF106" s="5"/>
      <c r="AG106" s="3"/>
      <c r="AH106" s="3"/>
      <c r="AI106" s="3"/>
      <c r="AJ106" s="3"/>
      <c r="AK106" s="3"/>
      <c r="AL106" s="3"/>
      <c r="AM106" s="3"/>
      <c r="AN106" s="3"/>
      <c r="AO106" s="3"/>
      <c r="AP106" s="3"/>
    </row>
    <row r="107" spans="1:42" x14ac:dyDescent="0.3">
      <c r="A107" s="3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5"/>
      <c r="AA107" s="5"/>
      <c r="AB107" s="5"/>
      <c r="AC107" s="5"/>
      <c r="AD107" s="5"/>
      <c r="AE107" s="5"/>
      <c r="AF107" s="5"/>
      <c r="AG107" s="3"/>
      <c r="AH107" s="3"/>
      <c r="AI107" s="3"/>
      <c r="AJ107" s="3"/>
      <c r="AK107" s="3"/>
      <c r="AL107" s="3"/>
      <c r="AM107" s="3"/>
      <c r="AN107" s="3"/>
      <c r="AO107" s="3"/>
      <c r="AP107" s="3"/>
    </row>
    <row r="108" spans="1:42" x14ac:dyDescent="0.3">
      <c r="A108" s="3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5"/>
      <c r="AA108" s="5"/>
      <c r="AB108" s="5"/>
      <c r="AC108" s="5"/>
      <c r="AD108" s="5"/>
      <c r="AE108" s="5"/>
      <c r="AF108" s="5"/>
      <c r="AG108" s="3"/>
      <c r="AH108" s="3"/>
      <c r="AI108" s="3"/>
      <c r="AJ108" s="3"/>
      <c r="AK108" s="3"/>
      <c r="AL108" s="3"/>
      <c r="AM108" s="3"/>
      <c r="AN108" s="3"/>
      <c r="AO108" s="3"/>
      <c r="AP108" s="3"/>
    </row>
    <row r="109" spans="1:42" x14ac:dyDescent="0.3">
      <c r="A109" s="3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5"/>
      <c r="AA109" s="5"/>
      <c r="AB109" s="5"/>
      <c r="AC109" s="5"/>
      <c r="AD109" s="5"/>
      <c r="AE109" s="5"/>
      <c r="AF109" s="5"/>
      <c r="AG109" s="3"/>
      <c r="AH109" s="3"/>
      <c r="AI109" s="3"/>
      <c r="AJ109" s="3"/>
      <c r="AK109" s="3"/>
      <c r="AL109" s="3"/>
      <c r="AM109" s="3"/>
      <c r="AN109" s="3"/>
      <c r="AO109" s="3"/>
      <c r="AP109" s="3"/>
    </row>
    <row r="110" spans="1:42" x14ac:dyDescent="0.3">
      <c r="A110" s="3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5"/>
      <c r="AA110" s="5"/>
      <c r="AB110" s="5"/>
      <c r="AC110" s="5"/>
      <c r="AD110" s="5"/>
      <c r="AE110" s="5"/>
      <c r="AF110" s="5"/>
      <c r="AG110" s="3"/>
      <c r="AH110" s="3"/>
      <c r="AI110" s="3"/>
      <c r="AJ110" s="3"/>
      <c r="AK110" s="3"/>
      <c r="AL110" s="3"/>
      <c r="AM110" s="3"/>
      <c r="AN110" s="3"/>
      <c r="AO110" s="3"/>
      <c r="AP110" s="3"/>
    </row>
    <row r="111" spans="1:42" x14ac:dyDescent="0.3">
      <c r="A111" s="3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5"/>
      <c r="AA111" s="5"/>
      <c r="AB111" s="5"/>
      <c r="AC111" s="5"/>
      <c r="AD111" s="5"/>
      <c r="AE111" s="5"/>
      <c r="AF111" s="5"/>
      <c r="AG111" s="3"/>
      <c r="AH111" s="3"/>
      <c r="AI111" s="3"/>
      <c r="AJ111" s="3"/>
      <c r="AK111" s="3"/>
      <c r="AL111" s="3"/>
      <c r="AM111" s="3"/>
      <c r="AN111" s="3"/>
      <c r="AO111" s="3"/>
      <c r="AP111" s="3"/>
    </row>
    <row r="112" spans="1:42" x14ac:dyDescent="0.3">
      <c r="A112" s="3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5"/>
      <c r="AA112" s="5"/>
      <c r="AB112" s="5"/>
      <c r="AC112" s="5"/>
      <c r="AD112" s="5"/>
      <c r="AE112" s="5"/>
      <c r="AF112" s="5"/>
      <c r="AG112" s="3"/>
      <c r="AH112" s="3"/>
      <c r="AI112" s="3"/>
      <c r="AJ112" s="3"/>
      <c r="AK112" s="3"/>
      <c r="AL112" s="3"/>
      <c r="AM112" s="3"/>
      <c r="AN112" s="3"/>
      <c r="AO112" s="3"/>
      <c r="AP112" s="3"/>
    </row>
    <row r="113" spans="1:42" x14ac:dyDescent="0.3">
      <c r="A113" s="3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5"/>
      <c r="AA113" s="5"/>
      <c r="AB113" s="5"/>
      <c r="AC113" s="5"/>
      <c r="AD113" s="5"/>
      <c r="AE113" s="5"/>
      <c r="AF113" s="5"/>
      <c r="AG113" s="3"/>
      <c r="AH113" s="3"/>
      <c r="AI113" s="3"/>
      <c r="AJ113" s="3"/>
      <c r="AK113" s="3"/>
      <c r="AL113" s="3"/>
      <c r="AM113" s="3"/>
      <c r="AN113" s="3"/>
      <c r="AO113" s="3"/>
      <c r="AP113" s="3"/>
    </row>
    <row r="114" spans="1:42" x14ac:dyDescent="0.3">
      <c r="A114" s="3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5"/>
      <c r="AA114" s="5"/>
      <c r="AB114" s="5"/>
      <c r="AC114" s="5"/>
      <c r="AD114" s="5"/>
      <c r="AE114" s="5"/>
      <c r="AF114" s="5"/>
      <c r="AG114" s="3"/>
      <c r="AH114" s="3"/>
      <c r="AI114" s="3"/>
      <c r="AJ114" s="3"/>
      <c r="AK114" s="3"/>
      <c r="AL114" s="3"/>
      <c r="AM114" s="3"/>
      <c r="AN114" s="3"/>
      <c r="AO114" s="3"/>
      <c r="AP114" s="3"/>
    </row>
    <row r="115" spans="1:42" x14ac:dyDescent="0.3">
      <c r="A115" s="3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5"/>
      <c r="AA115" s="5"/>
      <c r="AB115" s="5"/>
      <c r="AC115" s="5"/>
      <c r="AD115" s="5"/>
      <c r="AE115" s="5"/>
      <c r="AF115" s="5"/>
      <c r="AG115" s="3"/>
      <c r="AH115" s="3"/>
      <c r="AI115" s="3"/>
      <c r="AJ115" s="3"/>
      <c r="AK115" s="3"/>
      <c r="AL115" s="3"/>
      <c r="AM115" s="3"/>
      <c r="AN115" s="3"/>
      <c r="AO115" s="3"/>
      <c r="AP115" s="3"/>
    </row>
    <row r="116" spans="1:42" x14ac:dyDescent="0.3">
      <c r="A116" s="3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5"/>
      <c r="AA116" s="5"/>
      <c r="AB116" s="5"/>
      <c r="AC116" s="5"/>
      <c r="AD116" s="5"/>
      <c r="AE116" s="5"/>
      <c r="AF116" s="5"/>
      <c r="AG116" s="3"/>
      <c r="AH116" s="3"/>
      <c r="AI116" s="3"/>
      <c r="AJ116" s="3"/>
      <c r="AK116" s="3"/>
      <c r="AL116" s="3"/>
      <c r="AM116" s="3"/>
      <c r="AN116" s="3"/>
      <c r="AO116" s="3"/>
      <c r="AP116" s="3"/>
    </row>
    <row r="117" spans="1:42" x14ac:dyDescent="0.3">
      <c r="A117" s="3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5"/>
      <c r="AA117" s="5"/>
      <c r="AB117" s="5"/>
      <c r="AC117" s="5"/>
      <c r="AD117" s="5"/>
      <c r="AE117" s="5"/>
      <c r="AF117" s="5"/>
      <c r="AG117" s="3"/>
      <c r="AH117" s="3"/>
      <c r="AI117" s="3"/>
      <c r="AJ117" s="3"/>
      <c r="AK117" s="3"/>
      <c r="AL117" s="3"/>
      <c r="AM117" s="3"/>
      <c r="AN117" s="3"/>
      <c r="AO117" s="3"/>
      <c r="AP117" s="3"/>
    </row>
    <row r="118" spans="1:42" x14ac:dyDescent="0.3">
      <c r="A118" s="3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5"/>
      <c r="AA118" s="5"/>
      <c r="AB118" s="5"/>
      <c r="AC118" s="5"/>
      <c r="AD118" s="5"/>
      <c r="AE118" s="5"/>
      <c r="AF118" s="5"/>
      <c r="AG118" s="3"/>
      <c r="AH118" s="3"/>
      <c r="AI118" s="3"/>
      <c r="AJ118" s="3"/>
      <c r="AK118" s="3"/>
      <c r="AL118" s="3"/>
      <c r="AM118" s="3"/>
      <c r="AN118" s="3"/>
      <c r="AO118" s="3"/>
      <c r="AP118" s="3"/>
    </row>
    <row r="119" spans="1:42" x14ac:dyDescent="0.3">
      <c r="A119" s="3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5"/>
      <c r="AA119" s="5"/>
      <c r="AB119" s="5"/>
      <c r="AC119" s="5"/>
      <c r="AD119" s="5"/>
      <c r="AE119" s="5"/>
      <c r="AF119" s="5"/>
      <c r="AG119" s="3"/>
      <c r="AH119" s="3"/>
      <c r="AI119" s="3"/>
      <c r="AJ119" s="3"/>
      <c r="AK119" s="3"/>
      <c r="AL119" s="3"/>
      <c r="AM119" s="3"/>
      <c r="AN119" s="3"/>
      <c r="AO119" s="3"/>
      <c r="AP119" s="3"/>
    </row>
    <row r="120" spans="1:42" x14ac:dyDescent="0.3">
      <c r="A120" s="3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5"/>
      <c r="AA120" s="5"/>
      <c r="AB120" s="5"/>
      <c r="AC120" s="5"/>
      <c r="AD120" s="5"/>
      <c r="AE120" s="5"/>
      <c r="AF120" s="5"/>
      <c r="AG120" s="3"/>
      <c r="AH120" s="3"/>
      <c r="AI120" s="3"/>
      <c r="AJ120" s="3"/>
      <c r="AK120" s="3"/>
      <c r="AL120" s="3"/>
      <c r="AM120" s="3"/>
      <c r="AN120" s="3"/>
      <c r="AO120" s="3"/>
      <c r="AP120" s="3"/>
    </row>
    <row r="121" spans="1:42" x14ac:dyDescent="0.3">
      <c r="A121" s="3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5"/>
      <c r="AA121" s="5"/>
      <c r="AB121" s="5"/>
      <c r="AC121" s="5"/>
      <c r="AD121" s="5"/>
      <c r="AE121" s="5"/>
      <c r="AF121" s="5"/>
      <c r="AG121" s="3"/>
      <c r="AH121" s="3"/>
      <c r="AI121" s="3"/>
      <c r="AJ121" s="3"/>
      <c r="AK121" s="3"/>
      <c r="AL121" s="3"/>
      <c r="AM121" s="3"/>
      <c r="AN121" s="3"/>
      <c r="AO121" s="3"/>
      <c r="AP121" s="3"/>
    </row>
    <row r="122" spans="1:42" x14ac:dyDescent="0.3">
      <c r="A122" s="3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5"/>
      <c r="AA122" s="5"/>
      <c r="AB122" s="5"/>
      <c r="AC122" s="5"/>
      <c r="AD122" s="5"/>
      <c r="AE122" s="5"/>
      <c r="AF122" s="5"/>
      <c r="AG122" s="3"/>
      <c r="AH122" s="3"/>
      <c r="AI122" s="3"/>
      <c r="AJ122" s="3"/>
      <c r="AK122" s="3"/>
      <c r="AL122" s="3"/>
      <c r="AM122" s="3"/>
      <c r="AN122" s="3"/>
      <c r="AO122" s="3"/>
      <c r="AP122" s="3"/>
    </row>
    <row r="123" spans="1:42" x14ac:dyDescent="0.3">
      <c r="A123" s="3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5"/>
      <c r="AA123" s="5"/>
      <c r="AB123" s="5"/>
      <c r="AC123" s="5"/>
      <c r="AD123" s="5"/>
      <c r="AE123" s="5"/>
      <c r="AF123" s="5"/>
      <c r="AG123" s="3"/>
      <c r="AH123" s="3"/>
      <c r="AI123" s="3"/>
      <c r="AJ123" s="3"/>
      <c r="AK123" s="3"/>
      <c r="AL123" s="3"/>
      <c r="AM123" s="3"/>
      <c r="AN123" s="3"/>
      <c r="AO123" s="3"/>
      <c r="AP123" s="3"/>
    </row>
    <row r="124" spans="1:42" x14ac:dyDescent="0.3">
      <c r="A124" s="3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5"/>
      <c r="AA124" s="5"/>
      <c r="AB124" s="5"/>
      <c r="AC124" s="5"/>
      <c r="AD124" s="5"/>
      <c r="AE124" s="5"/>
      <c r="AF124" s="5"/>
      <c r="AG124" s="3"/>
      <c r="AH124" s="3"/>
      <c r="AI124" s="3"/>
      <c r="AJ124" s="3"/>
      <c r="AK124" s="3"/>
      <c r="AL124" s="3"/>
      <c r="AM124" s="3"/>
      <c r="AN124" s="3"/>
      <c r="AO124" s="3"/>
      <c r="AP124" s="3"/>
    </row>
    <row r="125" spans="1:42" x14ac:dyDescent="0.3">
      <c r="A125" s="3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5"/>
      <c r="AA125" s="5"/>
      <c r="AB125" s="5"/>
      <c r="AC125" s="5"/>
      <c r="AD125" s="5"/>
      <c r="AE125" s="5"/>
      <c r="AF125" s="5"/>
      <c r="AG125" s="3"/>
      <c r="AH125" s="3"/>
      <c r="AI125" s="3"/>
      <c r="AJ125" s="3"/>
      <c r="AK125" s="3"/>
      <c r="AL125" s="3"/>
      <c r="AM125" s="3"/>
      <c r="AN125" s="3"/>
      <c r="AO125" s="3"/>
      <c r="AP125" s="3"/>
    </row>
    <row r="126" spans="1:42" x14ac:dyDescent="0.3">
      <c r="A126" s="3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5"/>
      <c r="AA126" s="5"/>
      <c r="AB126" s="5"/>
      <c r="AC126" s="5"/>
      <c r="AD126" s="5"/>
      <c r="AE126" s="5"/>
      <c r="AF126" s="5"/>
      <c r="AG126" s="3"/>
      <c r="AH126" s="3"/>
      <c r="AI126" s="3"/>
      <c r="AJ126" s="3"/>
      <c r="AK126" s="3"/>
      <c r="AL126" s="3"/>
      <c r="AM126" s="3"/>
      <c r="AN126" s="3"/>
      <c r="AO126" s="3"/>
      <c r="AP126" s="3"/>
    </row>
    <row r="127" spans="1:42" x14ac:dyDescent="0.3">
      <c r="A127" s="3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5"/>
      <c r="AA127" s="5"/>
      <c r="AB127" s="5"/>
      <c r="AC127" s="5"/>
      <c r="AD127" s="5"/>
      <c r="AE127" s="5"/>
      <c r="AF127" s="5"/>
      <c r="AG127" s="3"/>
      <c r="AH127" s="3"/>
      <c r="AI127" s="3"/>
      <c r="AJ127" s="3"/>
      <c r="AK127" s="3"/>
      <c r="AL127" s="3"/>
      <c r="AM127" s="3"/>
      <c r="AN127" s="3"/>
      <c r="AO127" s="3"/>
      <c r="AP127" s="3"/>
    </row>
    <row r="128" spans="1:42" x14ac:dyDescent="0.3">
      <c r="A128" s="3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5"/>
      <c r="AA128" s="5"/>
      <c r="AB128" s="5"/>
      <c r="AC128" s="5"/>
      <c r="AD128" s="5"/>
      <c r="AE128" s="5"/>
      <c r="AF128" s="5"/>
      <c r="AG128" s="3"/>
      <c r="AH128" s="3"/>
      <c r="AI128" s="3"/>
      <c r="AJ128" s="3"/>
      <c r="AK128" s="3"/>
      <c r="AL128" s="3"/>
      <c r="AM128" s="3"/>
      <c r="AN128" s="3"/>
      <c r="AO128" s="3"/>
      <c r="AP128" s="3"/>
    </row>
    <row r="129" spans="1:42" x14ac:dyDescent="0.3">
      <c r="A129" s="3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5"/>
      <c r="AA129" s="5"/>
      <c r="AB129" s="5"/>
      <c r="AC129" s="5"/>
      <c r="AD129" s="5"/>
      <c r="AE129" s="5"/>
      <c r="AF129" s="5"/>
      <c r="AG129" s="3"/>
      <c r="AH129" s="3"/>
      <c r="AI129" s="3"/>
      <c r="AJ129" s="3"/>
      <c r="AK129" s="3"/>
      <c r="AL129" s="3"/>
      <c r="AM129" s="3"/>
      <c r="AN129" s="3"/>
      <c r="AO129" s="3"/>
      <c r="AP129" s="3"/>
    </row>
    <row r="130" spans="1:42" x14ac:dyDescent="0.3">
      <c r="A130" s="3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5"/>
      <c r="AA130" s="5"/>
      <c r="AB130" s="5"/>
      <c r="AC130" s="5"/>
      <c r="AD130" s="5"/>
      <c r="AE130" s="5"/>
      <c r="AF130" s="5"/>
      <c r="AG130" s="3"/>
      <c r="AH130" s="3"/>
      <c r="AI130" s="3"/>
      <c r="AJ130" s="3"/>
      <c r="AK130" s="3"/>
      <c r="AL130" s="3"/>
      <c r="AM130" s="3"/>
      <c r="AN130" s="3"/>
      <c r="AO130" s="3"/>
      <c r="AP130" s="3"/>
    </row>
    <row r="131" spans="1:42" x14ac:dyDescent="0.3">
      <c r="A131" s="3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5"/>
      <c r="AA131" s="5"/>
      <c r="AB131" s="5"/>
      <c r="AC131" s="5"/>
      <c r="AD131" s="5"/>
      <c r="AE131" s="5"/>
      <c r="AF131" s="5"/>
      <c r="AG131" s="3"/>
      <c r="AH131" s="3"/>
      <c r="AI131" s="3"/>
      <c r="AJ131" s="3"/>
      <c r="AK131" s="3"/>
      <c r="AL131" s="3"/>
      <c r="AM131" s="3"/>
      <c r="AN131" s="3"/>
      <c r="AO131" s="3"/>
      <c r="AP131" s="3"/>
    </row>
    <row r="132" spans="1:42" x14ac:dyDescent="0.3">
      <c r="A132" s="3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5"/>
      <c r="AA132" s="5"/>
      <c r="AB132" s="5"/>
      <c r="AC132" s="5"/>
      <c r="AD132" s="5"/>
      <c r="AE132" s="5"/>
      <c r="AF132" s="5"/>
      <c r="AG132" s="3"/>
      <c r="AH132" s="3"/>
      <c r="AI132" s="3"/>
      <c r="AJ132" s="3"/>
      <c r="AK132" s="3"/>
      <c r="AL132" s="3"/>
      <c r="AM132" s="3"/>
      <c r="AN132" s="3"/>
      <c r="AO132" s="3"/>
      <c r="AP132" s="3"/>
    </row>
    <row r="133" spans="1:42" x14ac:dyDescent="0.3">
      <c r="A133" s="3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5"/>
      <c r="AA133" s="5"/>
      <c r="AB133" s="5"/>
      <c r="AC133" s="5"/>
      <c r="AD133" s="5"/>
      <c r="AE133" s="5"/>
      <c r="AF133" s="5"/>
      <c r="AG133" s="3"/>
      <c r="AH133" s="3"/>
      <c r="AI133" s="3"/>
      <c r="AJ133" s="3"/>
      <c r="AK133" s="3"/>
      <c r="AL133" s="3"/>
      <c r="AM133" s="3"/>
      <c r="AN133" s="3"/>
      <c r="AO133" s="3"/>
      <c r="AP133" s="3"/>
    </row>
    <row r="134" spans="1:42" x14ac:dyDescent="0.3">
      <c r="A134" s="3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5"/>
      <c r="AA134" s="5"/>
      <c r="AB134" s="5"/>
      <c r="AC134" s="5"/>
      <c r="AD134" s="5"/>
      <c r="AE134" s="5"/>
      <c r="AF134" s="5"/>
      <c r="AG134" s="3"/>
      <c r="AH134" s="3"/>
      <c r="AI134" s="3"/>
      <c r="AJ134" s="3"/>
      <c r="AK134" s="3"/>
      <c r="AL134" s="3"/>
      <c r="AM134" s="3"/>
      <c r="AN134" s="3"/>
      <c r="AO134" s="3"/>
      <c r="AP134" s="3"/>
    </row>
    <row r="135" spans="1:42" x14ac:dyDescent="0.3">
      <c r="A135" s="3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5"/>
      <c r="AA135" s="5"/>
      <c r="AB135" s="5"/>
      <c r="AC135" s="5"/>
      <c r="AD135" s="5"/>
      <c r="AE135" s="5"/>
      <c r="AF135" s="5"/>
      <c r="AG135" s="3"/>
      <c r="AH135" s="3"/>
      <c r="AI135" s="3"/>
      <c r="AJ135" s="3"/>
      <c r="AK135" s="3"/>
      <c r="AL135" s="3"/>
      <c r="AM135" s="3"/>
      <c r="AN135" s="3"/>
      <c r="AO135" s="3"/>
      <c r="AP135" s="3"/>
    </row>
    <row r="136" spans="1:42" x14ac:dyDescent="0.3">
      <c r="A136" s="3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5"/>
      <c r="AA136" s="5"/>
      <c r="AB136" s="5"/>
      <c r="AC136" s="5"/>
      <c r="AD136" s="5"/>
      <c r="AE136" s="5"/>
      <c r="AF136" s="5"/>
      <c r="AG136" s="3"/>
      <c r="AH136" s="3"/>
      <c r="AI136" s="3"/>
      <c r="AJ136" s="3"/>
      <c r="AK136" s="3"/>
      <c r="AL136" s="3"/>
      <c r="AM136" s="3"/>
      <c r="AN136" s="3"/>
      <c r="AO136" s="3"/>
      <c r="AP136" s="3"/>
    </row>
    <row r="137" spans="1:42" x14ac:dyDescent="0.3">
      <c r="A137" s="3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5"/>
      <c r="AA137" s="5"/>
      <c r="AB137" s="5"/>
      <c r="AC137" s="5"/>
      <c r="AD137" s="5"/>
      <c r="AE137" s="5"/>
      <c r="AF137" s="5"/>
      <c r="AG137" s="3"/>
      <c r="AH137" s="3"/>
      <c r="AI137" s="3"/>
      <c r="AJ137" s="3"/>
      <c r="AK137" s="3"/>
      <c r="AL137" s="3"/>
      <c r="AM137" s="3"/>
      <c r="AN137" s="3"/>
      <c r="AO137" s="3"/>
      <c r="AP137" s="3"/>
    </row>
    <row r="138" spans="1:42" x14ac:dyDescent="0.3">
      <c r="A138" s="3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5"/>
      <c r="AA138" s="5"/>
      <c r="AB138" s="5"/>
      <c r="AC138" s="5"/>
      <c r="AD138" s="5"/>
      <c r="AE138" s="5"/>
      <c r="AF138" s="5"/>
      <c r="AG138" s="3"/>
      <c r="AH138" s="3"/>
      <c r="AI138" s="3"/>
      <c r="AJ138" s="3"/>
      <c r="AK138" s="3"/>
      <c r="AL138" s="3"/>
      <c r="AM138" s="3"/>
      <c r="AN138" s="3"/>
      <c r="AO138" s="3"/>
      <c r="AP138" s="3"/>
    </row>
    <row r="139" spans="1:42" x14ac:dyDescent="0.3">
      <c r="A139" s="3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5"/>
      <c r="AA139" s="5"/>
      <c r="AB139" s="5"/>
      <c r="AC139" s="5"/>
      <c r="AD139" s="5"/>
      <c r="AE139" s="5"/>
      <c r="AF139" s="5"/>
      <c r="AG139" s="3"/>
      <c r="AH139" s="3"/>
      <c r="AI139" s="3"/>
      <c r="AJ139" s="3"/>
      <c r="AK139" s="3"/>
      <c r="AL139" s="3"/>
      <c r="AM139" s="3"/>
      <c r="AN139" s="3"/>
      <c r="AO139" s="3"/>
      <c r="AP139" s="3"/>
    </row>
    <row r="140" spans="1:42" x14ac:dyDescent="0.3">
      <c r="A140" s="3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5"/>
      <c r="AA140" s="5"/>
      <c r="AB140" s="5"/>
      <c r="AC140" s="5"/>
      <c r="AD140" s="5"/>
      <c r="AE140" s="5"/>
      <c r="AF140" s="5"/>
      <c r="AG140" s="3"/>
      <c r="AH140" s="3"/>
      <c r="AI140" s="3"/>
      <c r="AJ140" s="3"/>
      <c r="AK140" s="3"/>
      <c r="AL140" s="3"/>
      <c r="AM140" s="3"/>
      <c r="AN140" s="3"/>
      <c r="AO140" s="3"/>
      <c r="AP140" s="3"/>
    </row>
    <row r="141" spans="1:42" x14ac:dyDescent="0.3">
      <c r="A141" s="3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5"/>
      <c r="AA141" s="5"/>
      <c r="AB141" s="5"/>
      <c r="AC141" s="5"/>
      <c r="AD141" s="5"/>
      <c r="AE141" s="5"/>
      <c r="AF141" s="5"/>
      <c r="AG141" s="3"/>
      <c r="AH141" s="3"/>
      <c r="AI141" s="3"/>
      <c r="AJ141" s="3"/>
      <c r="AK141" s="3"/>
      <c r="AL141" s="3"/>
      <c r="AM141" s="3"/>
      <c r="AN141" s="3"/>
      <c r="AO141" s="3"/>
      <c r="AP141" s="3"/>
    </row>
    <row r="142" spans="1:42" x14ac:dyDescent="0.3">
      <c r="A142" s="3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5"/>
      <c r="AA142" s="5"/>
      <c r="AB142" s="5"/>
      <c r="AC142" s="5"/>
      <c r="AD142" s="5"/>
      <c r="AE142" s="5"/>
      <c r="AF142" s="5"/>
      <c r="AG142" s="3"/>
      <c r="AH142" s="3"/>
      <c r="AI142" s="3"/>
      <c r="AJ142" s="3"/>
      <c r="AK142" s="3"/>
      <c r="AL142" s="3"/>
      <c r="AM142" s="3"/>
      <c r="AN142" s="3"/>
      <c r="AO142" s="3"/>
      <c r="AP142" s="3"/>
    </row>
    <row r="143" spans="1:42" x14ac:dyDescent="0.3">
      <c r="A143" s="3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5"/>
      <c r="AA143" s="5"/>
      <c r="AB143" s="5"/>
      <c r="AC143" s="5"/>
      <c r="AD143" s="5"/>
      <c r="AE143" s="5"/>
      <c r="AF143" s="5"/>
      <c r="AG143" s="3"/>
      <c r="AH143" s="3"/>
      <c r="AI143" s="3"/>
      <c r="AJ143" s="3"/>
      <c r="AK143" s="3"/>
      <c r="AL143" s="3"/>
      <c r="AM143" s="3"/>
      <c r="AN143" s="3"/>
      <c r="AO143" s="3"/>
      <c r="AP143" s="3"/>
    </row>
    <row r="144" spans="1:42" x14ac:dyDescent="0.3">
      <c r="A144" s="3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5"/>
      <c r="AA144" s="5"/>
      <c r="AB144" s="5"/>
      <c r="AC144" s="5"/>
      <c r="AD144" s="5"/>
      <c r="AE144" s="5"/>
      <c r="AF144" s="5"/>
      <c r="AG144" s="3"/>
      <c r="AH144" s="3"/>
      <c r="AI144" s="3"/>
      <c r="AJ144" s="3"/>
      <c r="AK144" s="3"/>
      <c r="AL144" s="3"/>
      <c r="AM144" s="3"/>
      <c r="AN144" s="3"/>
      <c r="AO144" s="3"/>
      <c r="AP144" s="3"/>
    </row>
    <row r="145" spans="1:42" x14ac:dyDescent="0.3">
      <c r="A145" s="3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5"/>
      <c r="AA145" s="5"/>
      <c r="AB145" s="5"/>
      <c r="AC145" s="5"/>
      <c r="AD145" s="5"/>
      <c r="AE145" s="5"/>
      <c r="AF145" s="5"/>
      <c r="AG145" s="3"/>
      <c r="AH145" s="3"/>
      <c r="AI145" s="3"/>
      <c r="AJ145" s="3"/>
      <c r="AK145" s="3"/>
      <c r="AL145" s="3"/>
      <c r="AM145" s="3"/>
      <c r="AN145" s="3"/>
      <c r="AO145" s="3"/>
      <c r="AP145" s="3"/>
    </row>
    <row r="146" spans="1:42" x14ac:dyDescent="0.3">
      <c r="A146" s="3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5"/>
      <c r="AA146" s="5"/>
      <c r="AB146" s="5"/>
      <c r="AC146" s="5"/>
      <c r="AD146" s="5"/>
      <c r="AE146" s="5"/>
      <c r="AF146" s="5"/>
      <c r="AG146" s="3"/>
      <c r="AH146" s="3"/>
      <c r="AI146" s="3"/>
      <c r="AJ146" s="3"/>
      <c r="AK146" s="3"/>
      <c r="AL146" s="3"/>
      <c r="AM146" s="3"/>
      <c r="AN146" s="3"/>
      <c r="AO146" s="3"/>
      <c r="AP146" s="3"/>
    </row>
    <row r="147" spans="1:42" x14ac:dyDescent="0.3">
      <c r="A147" s="3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5"/>
      <c r="AA147" s="5"/>
      <c r="AB147" s="5"/>
      <c r="AC147" s="5"/>
      <c r="AD147" s="5"/>
      <c r="AE147" s="5"/>
      <c r="AF147" s="5"/>
      <c r="AG147" s="3"/>
      <c r="AH147" s="3"/>
      <c r="AI147" s="3"/>
      <c r="AJ147" s="3"/>
      <c r="AK147" s="3"/>
      <c r="AL147" s="3"/>
      <c r="AM147" s="3"/>
      <c r="AN147" s="3"/>
      <c r="AO147" s="3"/>
      <c r="AP147" s="3"/>
    </row>
    <row r="148" spans="1:42" x14ac:dyDescent="0.3">
      <c r="A148" s="3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5"/>
      <c r="AA148" s="5"/>
      <c r="AB148" s="5"/>
      <c r="AC148" s="5"/>
      <c r="AD148" s="5"/>
      <c r="AE148" s="5"/>
      <c r="AF148" s="5"/>
      <c r="AG148" s="3"/>
      <c r="AH148" s="3"/>
      <c r="AI148" s="3"/>
      <c r="AJ148" s="3"/>
      <c r="AK148" s="3"/>
      <c r="AL148" s="3"/>
      <c r="AM148" s="3"/>
      <c r="AN148" s="3"/>
      <c r="AO148" s="3"/>
      <c r="AP148" s="3"/>
    </row>
    <row r="149" spans="1:42" x14ac:dyDescent="0.3">
      <c r="A149" s="3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5"/>
      <c r="AA149" s="5"/>
      <c r="AB149" s="5"/>
      <c r="AC149" s="5"/>
      <c r="AD149" s="5"/>
      <c r="AE149" s="5"/>
      <c r="AF149" s="5"/>
      <c r="AG149" s="3"/>
      <c r="AH149" s="3"/>
      <c r="AI149" s="3"/>
      <c r="AJ149" s="3"/>
      <c r="AK149" s="3"/>
      <c r="AL149" s="3"/>
      <c r="AM149" s="3"/>
      <c r="AN149" s="3"/>
      <c r="AO149" s="3"/>
      <c r="AP149" s="3"/>
    </row>
    <row r="150" spans="1:42" x14ac:dyDescent="0.3">
      <c r="A150" s="3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5"/>
      <c r="AA150" s="5"/>
      <c r="AB150" s="5"/>
      <c r="AC150" s="5"/>
      <c r="AD150" s="5"/>
      <c r="AE150" s="5"/>
      <c r="AF150" s="5"/>
      <c r="AG150" s="3"/>
      <c r="AH150" s="3"/>
      <c r="AI150" s="3"/>
      <c r="AJ150" s="3"/>
      <c r="AK150" s="3"/>
      <c r="AL150" s="3"/>
      <c r="AM150" s="3"/>
      <c r="AN150" s="3"/>
      <c r="AO150" s="3"/>
      <c r="AP150" s="3"/>
    </row>
    <row r="151" spans="1:42" x14ac:dyDescent="0.3">
      <c r="A151" s="3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5"/>
      <c r="AA151" s="5"/>
      <c r="AB151" s="5"/>
      <c r="AC151" s="5"/>
      <c r="AD151" s="5"/>
      <c r="AE151" s="5"/>
      <c r="AF151" s="5"/>
      <c r="AG151" s="3"/>
      <c r="AH151" s="3"/>
      <c r="AI151" s="3"/>
      <c r="AJ151" s="3"/>
      <c r="AK151" s="3"/>
      <c r="AL151" s="3"/>
      <c r="AM151" s="3"/>
      <c r="AN151" s="3"/>
      <c r="AO151" s="3"/>
      <c r="AP151" s="3"/>
    </row>
    <row r="152" spans="1:42" x14ac:dyDescent="0.3">
      <c r="A152" s="3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5"/>
      <c r="AA152" s="5"/>
      <c r="AB152" s="5"/>
      <c r="AC152" s="5"/>
      <c r="AD152" s="5"/>
      <c r="AE152" s="5"/>
      <c r="AF152" s="5"/>
      <c r="AG152" s="3"/>
      <c r="AH152" s="3"/>
      <c r="AI152" s="3"/>
      <c r="AJ152" s="3"/>
      <c r="AK152" s="3"/>
      <c r="AL152" s="3"/>
      <c r="AM152" s="3"/>
      <c r="AN152" s="3"/>
      <c r="AO152" s="3"/>
      <c r="AP152" s="3"/>
    </row>
    <row r="153" spans="1:42" x14ac:dyDescent="0.3">
      <c r="A153" s="3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5"/>
      <c r="AA153" s="5"/>
      <c r="AB153" s="5"/>
      <c r="AC153" s="5"/>
      <c r="AD153" s="5"/>
      <c r="AE153" s="5"/>
      <c r="AF153" s="5"/>
      <c r="AG153" s="3"/>
      <c r="AH153" s="3"/>
      <c r="AI153" s="3"/>
      <c r="AJ153" s="3"/>
      <c r="AK153" s="3"/>
      <c r="AL153" s="3"/>
      <c r="AM153" s="3"/>
      <c r="AN153" s="3"/>
      <c r="AO153" s="3"/>
      <c r="AP153" s="3"/>
    </row>
    <row r="154" spans="1:42" x14ac:dyDescent="0.3">
      <c r="A154" s="3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5"/>
      <c r="AA154" s="5"/>
      <c r="AB154" s="5"/>
      <c r="AC154" s="5"/>
      <c r="AD154" s="5"/>
      <c r="AE154" s="5"/>
      <c r="AF154" s="5"/>
      <c r="AG154" s="3"/>
      <c r="AH154" s="3"/>
      <c r="AI154" s="3"/>
      <c r="AJ154" s="3"/>
      <c r="AK154" s="3"/>
      <c r="AL154" s="3"/>
      <c r="AM154" s="3"/>
      <c r="AN154" s="3"/>
      <c r="AO154" s="3"/>
      <c r="AP154" s="3"/>
    </row>
    <row r="155" spans="1:42" x14ac:dyDescent="0.3">
      <c r="A155" s="3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5"/>
      <c r="AA155" s="5"/>
      <c r="AB155" s="5"/>
      <c r="AC155" s="5"/>
      <c r="AD155" s="5"/>
      <c r="AE155" s="5"/>
      <c r="AF155" s="5"/>
      <c r="AG155" s="3"/>
      <c r="AH155" s="3"/>
      <c r="AI155" s="3"/>
      <c r="AJ155" s="3"/>
      <c r="AK155" s="3"/>
      <c r="AL155" s="3"/>
      <c r="AM155" s="3"/>
      <c r="AN155" s="3"/>
      <c r="AO155" s="3"/>
      <c r="AP155" s="3"/>
    </row>
    <row r="156" spans="1:42" x14ac:dyDescent="0.3">
      <c r="A156" s="3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5"/>
      <c r="AA156" s="5"/>
      <c r="AB156" s="5"/>
      <c r="AC156" s="5"/>
      <c r="AD156" s="5"/>
      <c r="AE156" s="5"/>
      <c r="AF156" s="5"/>
      <c r="AG156" s="3"/>
      <c r="AH156" s="3"/>
      <c r="AI156" s="3"/>
      <c r="AJ156" s="3"/>
      <c r="AK156" s="3"/>
      <c r="AL156" s="3"/>
      <c r="AM156" s="3"/>
      <c r="AN156" s="3"/>
      <c r="AO156" s="3"/>
      <c r="AP156" s="3"/>
    </row>
    <row r="157" spans="1:42" x14ac:dyDescent="0.3">
      <c r="A157" s="3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5"/>
      <c r="AA157" s="5"/>
      <c r="AB157" s="5"/>
      <c r="AC157" s="5"/>
      <c r="AD157" s="5"/>
      <c r="AE157" s="5"/>
      <c r="AF157" s="5"/>
      <c r="AG157" s="3"/>
      <c r="AH157" s="3"/>
      <c r="AI157" s="3"/>
      <c r="AJ157" s="3"/>
      <c r="AK157" s="3"/>
      <c r="AL157" s="3"/>
      <c r="AM157" s="3"/>
      <c r="AN157" s="3"/>
      <c r="AO157" s="3"/>
      <c r="AP157" s="3"/>
    </row>
    <row r="158" spans="1:42" x14ac:dyDescent="0.3">
      <c r="A158" s="3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5"/>
      <c r="AA158" s="5"/>
      <c r="AB158" s="5"/>
      <c r="AC158" s="5"/>
      <c r="AD158" s="5"/>
      <c r="AE158" s="5"/>
      <c r="AF158" s="5"/>
      <c r="AG158" s="3"/>
      <c r="AH158" s="3"/>
      <c r="AI158" s="3"/>
      <c r="AJ158" s="3"/>
      <c r="AK158" s="3"/>
      <c r="AL158" s="3"/>
      <c r="AM158" s="3"/>
      <c r="AN158" s="3"/>
      <c r="AO158" s="3"/>
      <c r="AP158" s="3"/>
    </row>
    <row r="159" spans="1:42" x14ac:dyDescent="0.3">
      <c r="A159" s="3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5"/>
      <c r="AA159" s="5"/>
      <c r="AB159" s="5"/>
      <c r="AC159" s="5"/>
      <c r="AD159" s="5"/>
      <c r="AE159" s="5"/>
      <c r="AF159" s="5"/>
      <c r="AG159" s="3"/>
      <c r="AH159" s="3"/>
      <c r="AI159" s="3"/>
      <c r="AJ159" s="3"/>
      <c r="AK159" s="3"/>
      <c r="AL159" s="3"/>
      <c r="AM159" s="3"/>
      <c r="AN159" s="3"/>
      <c r="AO159" s="3"/>
      <c r="AP159" s="3"/>
    </row>
    <row r="160" spans="1:42" x14ac:dyDescent="0.3">
      <c r="A160" s="3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5"/>
      <c r="AA160" s="5"/>
      <c r="AB160" s="5"/>
      <c r="AC160" s="5"/>
      <c r="AD160" s="5"/>
      <c r="AE160" s="5"/>
      <c r="AF160" s="5"/>
      <c r="AG160" s="3"/>
      <c r="AH160" s="3"/>
      <c r="AI160" s="3"/>
      <c r="AJ160" s="3"/>
      <c r="AK160" s="3"/>
      <c r="AL160" s="3"/>
      <c r="AM160" s="3"/>
      <c r="AN160" s="3"/>
      <c r="AO160" s="3"/>
      <c r="AP160" s="3"/>
    </row>
    <row r="161" spans="1:42" x14ac:dyDescent="0.3">
      <c r="A161" s="3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5"/>
      <c r="AA161" s="5"/>
      <c r="AB161" s="5"/>
      <c r="AC161" s="5"/>
      <c r="AD161" s="5"/>
      <c r="AE161" s="5"/>
      <c r="AF161" s="5"/>
      <c r="AG161" s="3"/>
      <c r="AH161" s="3"/>
      <c r="AI161" s="3"/>
      <c r="AJ161" s="3"/>
      <c r="AK161" s="3"/>
      <c r="AL161" s="3"/>
      <c r="AM161" s="3"/>
      <c r="AN161" s="3"/>
      <c r="AO161" s="3"/>
      <c r="AP161" s="3"/>
    </row>
    <row r="162" spans="1:42" x14ac:dyDescent="0.3">
      <c r="A162" s="3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5"/>
      <c r="AA162" s="5"/>
      <c r="AB162" s="5"/>
      <c r="AC162" s="5"/>
      <c r="AD162" s="5"/>
      <c r="AE162" s="5"/>
      <c r="AF162" s="5"/>
      <c r="AG162" s="3"/>
      <c r="AH162" s="3"/>
      <c r="AI162" s="3"/>
      <c r="AJ162" s="3"/>
      <c r="AK162" s="3"/>
      <c r="AL162" s="3"/>
      <c r="AM162" s="3"/>
      <c r="AN162" s="3"/>
      <c r="AO162" s="3"/>
      <c r="AP162" s="3"/>
    </row>
    <row r="163" spans="1:42" x14ac:dyDescent="0.3">
      <c r="A163" s="3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5"/>
      <c r="AA163" s="5"/>
      <c r="AB163" s="5"/>
      <c r="AC163" s="5"/>
      <c r="AD163" s="5"/>
      <c r="AE163" s="5"/>
      <c r="AF163" s="5"/>
      <c r="AG163" s="3"/>
      <c r="AH163" s="3"/>
      <c r="AI163" s="3"/>
      <c r="AJ163" s="3"/>
      <c r="AK163" s="3"/>
      <c r="AL163" s="3"/>
      <c r="AM163" s="3"/>
      <c r="AN163" s="3"/>
      <c r="AO163" s="3"/>
      <c r="AP163" s="3"/>
    </row>
    <row r="164" spans="1:42" x14ac:dyDescent="0.3">
      <c r="A164" s="3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5"/>
      <c r="AA164" s="5"/>
      <c r="AB164" s="5"/>
      <c r="AC164" s="5"/>
      <c r="AD164" s="5"/>
      <c r="AE164" s="5"/>
      <c r="AF164" s="5"/>
      <c r="AG164" s="3"/>
      <c r="AH164" s="3"/>
      <c r="AI164" s="3"/>
      <c r="AJ164" s="3"/>
      <c r="AK164" s="3"/>
      <c r="AL164" s="3"/>
      <c r="AM164" s="3"/>
      <c r="AN164" s="3"/>
      <c r="AO164" s="3"/>
      <c r="AP164" s="3"/>
    </row>
    <row r="165" spans="1:42" x14ac:dyDescent="0.3">
      <c r="A165" s="3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5"/>
      <c r="AA165" s="5"/>
      <c r="AB165" s="5"/>
      <c r="AC165" s="5"/>
      <c r="AD165" s="5"/>
      <c r="AE165" s="5"/>
      <c r="AF165" s="5"/>
      <c r="AG165" s="3"/>
      <c r="AH165" s="3"/>
      <c r="AI165" s="3"/>
      <c r="AJ165" s="3"/>
      <c r="AK165" s="3"/>
      <c r="AL165" s="3"/>
      <c r="AM165" s="3"/>
      <c r="AN165" s="3"/>
      <c r="AO165" s="3"/>
      <c r="AP165" s="3"/>
    </row>
    <row r="166" spans="1:42" x14ac:dyDescent="0.3">
      <c r="A166" s="3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5"/>
      <c r="AA166" s="5"/>
      <c r="AB166" s="5"/>
      <c r="AC166" s="5"/>
      <c r="AD166" s="5"/>
      <c r="AE166" s="5"/>
      <c r="AF166" s="5"/>
      <c r="AG166" s="3"/>
      <c r="AH166" s="3"/>
      <c r="AI166" s="3"/>
      <c r="AJ166" s="3"/>
      <c r="AK166" s="3"/>
      <c r="AL166" s="3"/>
      <c r="AM166" s="3"/>
      <c r="AN166" s="3"/>
      <c r="AO166" s="3"/>
      <c r="AP166" s="3"/>
    </row>
    <row r="167" spans="1:42" x14ac:dyDescent="0.3">
      <c r="A167" s="3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5"/>
      <c r="AA167" s="5"/>
      <c r="AB167" s="5"/>
      <c r="AC167" s="5"/>
      <c r="AD167" s="5"/>
      <c r="AE167" s="5"/>
      <c r="AF167" s="5"/>
      <c r="AG167" s="3"/>
      <c r="AH167" s="3"/>
      <c r="AI167" s="3"/>
      <c r="AJ167" s="3"/>
      <c r="AK167" s="3"/>
      <c r="AL167" s="3"/>
      <c r="AM167" s="3"/>
      <c r="AN167" s="3"/>
      <c r="AO167" s="3"/>
      <c r="AP167" s="3"/>
    </row>
    <row r="168" spans="1:42" x14ac:dyDescent="0.3">
      <c r="A168" s="3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5"/>
      <c r="AA168" s="5"/>
      <c r="AB168" s="5"/>
      <c r="AC168" s="5"/>
      <c r="AD168" s="5"/>
      <c r="AE168" s="5"/>
      <c r="AF168" s="5"/>
      <c r="AG168" s="3"/>
      <c r="AH168" s="3"/>
      <c r="AI168" s="3"/>
      <c r="AJ168" s="3"/>
      <c r="AK168" s="3"/>
      <c r="AL168" s="3"/>
      <c r="AM168" s="3"/>
      <c r="AN168" s="3"/>
      <c r="AO168" s="3"/>
      <c r="AP168" s="3"/>
    </row>
    <row r="169" spans="1:42" x14ac:dyDescent="0.3">
      <c r="A169" s="3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5"/>
      <c r="AA169" s="5"/>
      <c r="AB169" s="5"/>
      <c r="AC169" s="5"/>
      <c r="AD169" s="5"/>
      <c r="AE169" s="5"/>
      <c r="AF169" s="5"/>
      <c r="AG169" s="3"/>
      <c r="AH169" s="3"/>
      <c r="AI169" s="3"/>
      <c r="AJ169" s="3"/>
      <c r="AK169" s="3"/>
      <c r="AL169" s="3"/>
      <c r="AM169" s="3"/>
      <c r="AN169" s="3"/>
      <c r="AO169" s="3"/>
      <c r="AP169" s="3"/>
    </row>
    <row r="170" spans="1:42" x14ac:dyDescent="0.3">
      <c r="A170" s="3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5"/>
      <c r="AA170" s="5"/>
      <c r="AB170" s="5"/>
      <c r="AC170" s="5"/>
      <c r="AD170" s="5"/>
      <c r="AE170" s="5"/>
      <c r="AF170" s="5"/>
      <c r="AG170" s="3"/>
      <c r="AH170" s="3"/>
      <c r="AI170" s="3"/>
      <c r="AJ170" s="3"/>
      <c r="AK170" s="3"/>
      <c r="AL170" s="3"/>
      <c r="AM170" s="3"/>
      <c r="AN170" s="3"/>
      <c r="AO170" s="3"/>
      <c r="AP170" s="3"/>
    </row>
    <row r="171" spans="1:42" x14ac:dyDescent="0.3">
      <c r="A171" s="3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5"/>
      <c r="AA171" s="5"/>
      <c r="AB171" s="5"/>
      <c r="AC171" s="5"/>
      <c r="AD171" s="5"/>
      <c r="AE171" s="5"/>
      <c r="AF171" s="5"/>
      <c r="AG171" s="3"/>
      <c r="AH171" s="3"/>
      <c r="AI171" s="3"/>
      <c r="AJ171" s="3"/>
      <c r="AK171" s="3"/>
      <c r="AL171" s="3"/>
      <c r="AM171" s="3"/>
      <c r="AN171" s="3"/>
      <c r="AO171" s="3"/>
      <c r="AP171" s="3"/>
    </row>
    <row r="172" spans="1:42" x14ac:dyDescent="0.3">
      <c r="A172" s="3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5"/>
      <c r="AA172" s="5"/>
      <c r="AB172" s="5"/>
      <c r="AC172" s="5"/>
      <c r="AD172" s="5"/>
      <c r="AE172" s="5"/>
      <c r="AF172" s="5"/>
      <c r="AG172" s="3"/>
      <c r="AH172" s="3"/>
      <c r="AI172" s="3"/>
      <c r="AJ172" s="3"/>
      <c r="AK172" s="3"/>
      <c r="AL172" s="3"/>
      <c r="AM172" s="3"/>
      <c r="AN172" s="3"/>
      <c r="AO172" s="3"/>
      <c r="AP172" s="3"/>
    </row>
    <row r="173" spans="1:42" x14ac:dyDescent="0.3">
      <c r="A173" s="3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5"/>
      <c r="AA173" s="5"/>
      <c r="AB173" s="5"/>
      <c r="AC173" s="5"/>
      <c r="AD173" s="5"/>
      <c r="AE173" s="5"/>
      <c r="AF173" s="5"/>
      <c r="AG173" s="3"/>
      <c r="AH173" s="3"/>
      <c r="AI173" s="3"/>
      <c r="AJ173" s="3"/>
      <c r="AK173" s="3"/>
      <c r="AL173" s="3"/>
      <c r="AM173" s="3"/>
      <c r="AN173" s="3"/>
      <c r="AO173" s="3"/>
      <c r="AP173" s="3"/>
    </row>
    <row r="174" spans="1:42" x14ac:dyDescent="0.3">
      <c r="A174" s="3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5"/>
      <c r="AA174" s="5"/>
      <c r="AB174" s="5"/>
      <c r="AC174" s="5"/>
      <c r="AD174" s="5"/>
      <c r="AE174" s="5"/>
      <c r="AF174" s="5"/>
      <c r="AG174" s="3"/>
      <c r="AH174" s="3"/>
      <c r="AI174" s="3"/>
      <c r="AJ174" s="3"/>
      <c r="AK174" s="3"/>
      <c r="AL174" s="3"/>
      <c r="AM174" s="3"/>
      <c r="AN174" s="3"/>
      <c r="AO174" s="3"/>
      <c r="AP174" s="3"/>
    </row>
    <row r="175" spans="1:42" x14ac:dyDescent="0.3">
      <c r="A175" s="3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5"/>
      <c r="AA175" s="5"/>
      <c r="AB175" s="5"/>
      <c r="AC175" s="5"/>
      <c r="AD175" s="5"/>
      <c r="AE175" s="5"/>
      <c r="AF175" s="5"/>
      <c r="AG175" s="3"/>
      <c r="AH175" s="3"/>
      <c r="AI175" s="3"/>
      <c r="AJ175" s="3"/>
      <c r="AK175" s="3"/>
      <c r="AL175" s="3"/>
      <c r="AM175" s="3"/>
      <c r="AN175" s="3"/>
      <c r="AO175" s="3"/>
      <c r="AP175" s="3"/>
    </row>
    <row r="176" spans="1:42" x14ac:dyDescent="0.3">
      <c r="A176" s="3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5"/>
      <c r="AA176" s="5"/>
      <c r="AB176" s="5"/>
      <c r="AC176" s="5"/>
      <c r="AD176" s="5"/>
      <c r="AE176" s="5"/>
      <c r="AF176" s="5"/>
      <c r="AG176" s="3"/>
      <c r="AH176" s="3"/>
      <c r="AI176" s="3"/>
      <c r="AJ176" s="3"/>
      <c r="AK176" s="3"/>
      <c r="AL176" s="3"/>
      <c r="AM176" s="3"/>
      <c r="AN176" s="3"/>
      <c r="AO176" s="3"/>
      <c r="AP176" s="3"/>
    </row>
    <row r="177" spans="1:42" x14ac:dyDescent="0.3">
      <c r="A177" s="3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5"/>
      <c r="AA177" s="5"/>
      <c r="AB177" s="5"/>
      <c r="AC177" s="5"/>
      <c r="AD177" s="5"/>
      <c r="AE177" s="5"/>
      <c r="AF177" s="5"/>
      <c r="AG177" s="3"/>
      <c r="AH177" s="3"/>
      <c r="AI177" s="3"/>
      <c r="AJ177" s="3"/>
      <c r="AK177" s="3"/>
      <c r="AL177" s="3"/>
      <c r="AM177" s="3"/>
      <c r="AN177" s="3"/>
      <c r="AO177" s="3"/>
      <c r="AP177" s="3"/>
    </row>
    <row r="178" spans="1:42" x14ac:dyDescent="0.3">
      <c r="A178" s="3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5"/>
      <c r="AA178" s="5"/>
      <c r="AB178" s="5"/>
      <c r="AC178" s="5"/>
      <c r="AD178" s="5"/>
      <c r="AE178" s="5"/>
      <c r="AF178" s="5"/>
      <c r="AG178" s="3"/>
      <c r="AH178" s="3"/>
      <c r="AI178" s="3"/>
      <c r="AJ178" s="3"/>
      <c r="AK178" s="3"/>
      <c r="AL178" s="3"/>
      <c r="AM178" s="3"/>
      <c r="AN178" s="3"/>
      <c r="AO178" s="3"/>
      <c r="AP178" s="3"/>
    </row>
    <row r="179" spans="1:42" x14ac:dyDescent="0.3">
      <c r="A179" s="3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5"/>
      <c r="AA179" s="5"/>
      <c r="AB179" s="5"/>
      <c r="AC179" s="5"/>
      <c r="AD179" s="5"/>
      <c r="AE179" s="5"/>
      <c r="AF179" s="5"/>
      <c r="AG179" s="3"/>
      <c r="AH179" s="3"/>
      <c r="AI179" s="3"/>
      <c r="AJ179" s="3"/>
      <c r="AK179" s="3"/>
      <c r="AL179" s="3"/>
      <c r="AM179" s="3"/>
      <c r="AN179" s="3"/>
      <c r="AO179" s="3"/>
      <c r="AP179" s="3"/>
    </row>
    <row r="180" spans="1:42" x14ac:dyDescent="0.3">
      <c r="A180" s="3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5"/>
      <c r="AA180" s="5"/>
      <c r="AB180" s="5"/>
      <c r="AC180" s="5"/>
      <c r="AD180" s="5"/>
      <c r="AE180" s="5"/>
      <c r="AF180" s="5"/>
      <c r="AG180" s="3"/>
      <c r="AH180" s="3"/>
      <c r="AI180" s="3"/>
      <c r="AJ180" s="3"/>
      <c r="AK180" s="3"/>
      <c r="AL180" s="3"/>
      <c r="AM180" s="3"/>
      <c r="AN180" s="3"/>
      <c r="AO180" s="3"/>
      <c r="AP180" s="3"/>
    </row>
    <row r="181" spans="1:42" x14ac:dyDescent="0.3">
      <c r="A181" s="3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5"/>
      <c r="AA181" s="5"/>
      <c r="AB181" s="5"/>
      <c r="AC181" s="5"/>
      <c r="AD181" s="5"/>
      <c r="AE181" s="5"/>
      <c r="AF181" s="5"/>
      <c r="AG181" s="3"/>
      <c r="AH181" s="3"/>
      <c r="AI181" s="3"/>
      <c r="AJ181" s="3"/>
      <c r="AK181" s="3"/>
      <c r="AL181" s="3"/>
      <c r="AM181" s="3"/>
      <c r="AN181" s="3"/>
      <c r="AO181" s="3"/>
      <c r="AP181" s="3"/>
    </row>
    <row r="182" spans="1:42" x14ac:dyDescent="0.3">
      <c r="A182" s="3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5"/>
      <c r="AA182" s="5"/>
      <c r="AB182" s="5"/>
      <c r="AC182" s="5"/>
      <c r="AD182" s="5"/>
      <c r="AE182" s="5"/>
      <c r="AF182" s="5"/>
      <c r="AG182" s="3"/>
      <c r="AH182" s="3"/>
      <c r="AI182" s="3"/>
      <c r="AJ182" s="3"/>
      <c r="AK182" s="3"/>
      <c r="AL182" s="3"/>
      <c r="AM182" s="3"/>
      <c r="AN182" s="3"/>
      <c r="AO182" s="3"/>
      <c r="AP182" s="3"/>
    </row>
    <row r="183" spans="1:42" x14ac:dyDescent="0.3">
      <c r="A183" s="3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5"/>
      <c r="AA183" s="5"/>
      <c r="AB183" s="5"/>
      <c r="AC183" s="5"/>
      <c r="AD183" s="5"/>
      <c r="AE183" s="5"/>
      <c r="AF183" s="5"/>
      <c r="AG183" s="3"/>
      <c r="AH183" s="3"/>
      <c r="AI183" s="3"/>
      <c r="AJ183" s="3"/>
      <c r="AK183" s="3"/>
      <c r="AL183" s="3"/>
      <c r="AM183" s="3"/>
      <c r="AN183" s="3"/>
      <c r="AO183" s="3"/>
      <c r="AP183" s="3"/>
    </row>
    <row r="184" spans="1:42" x14ac:dyDescent="0.3">
      <c r="A184" s="3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5"/>
      <c r="AA184" s="5"/>
      <c r="AB184" s="5"/>
      <c r="AC184" s="5"/>
      <c r="AD184" s="5"/>
      <c r="AE184" s="5"/>
      <c r="AF184" s="5"/>
      <c r="AG184" s="3"/>
      <c r="AH184" s="3"/>
      <c r="AI184" s="3"/>
      <c r="AJ184" s="3"/>
      <c r="AK184" s="3"/>
      <c r="AL184" s="3"/>
      <c r="AM184" s="3"/>
      <c r="AN184" s="3"/>
      <c r="AO184" s="3"/>
      <c r="AP184" s="3"/>
    </row>
    <row r="185" spans="1:42" x14ac:dyDescent="0.3">
      <c r="A185" s="3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5"/>
      <c r="AA185" s="5"/>
      <c r="AB185" s="5"/>
      <c r="AC185" s="5"/>
      <c r="AD185" s="5"/>
      <c r="AE185" s="5"/>
      <c r="AF185" s="5"/>
      <c r="AG185" s="3"/>
      <c r="AH185" s="3"/>
      <c r="AI185" s="3"/>
      <c r="AJ185" s="3"/>
      <c r="AK185" s="3"/>
      <c r="AL185" s="3"/>
      <c r="AM185" s="3"/>
      <c r="AN185" s="3"/>
      <c r="AO185" s="3"/>
      <c r="AP185" s="3"/>
    </row>
    <row r="186" spans="1:42" x14ac:dyDescent="0.3">
      <c r="A186" s="3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5"/>
      <c r="AA186" s="5"/>
      <c r="AB186" s="5"/>
      <c r="AC186" s="5"/>
      <c r="AD186" s="5"/>
      <c r="AE186" s="5"/>
      <c r="AF186" s="5"/>
      <c r="AG186" s="3"/>
      <c r="AH186" s="3"/>
      <c r="AI186" s="3"/>
      <c r="AJ186" s="3"/>
      <c r="AK186" s="3"/>
      <c r="AL186" s="3"/>
      <c r="AM186" s="3"/>
      <c r="AN186" s="3"/>
      <c r="AO186" s="3"/>
      <c r="AP186" s="3"/>
    </row>
    <row r="187" spans="1:42" x14ac:dyDescent="0.3">
      <c r="A187" s="3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5"/>
      <c r="AA187" s="5"/>
      <c r="AB187" s="5"/>
      <c r="AC187" s="5"/>
      <c r="AD187" s="5"/>
      <c r="AE187" s="5"/>
      <c r="AF187" s="5"/>
      <c r="AG187" s="3"/>
      <c r="AH187" s="3"/>
      <c r="AI187" s="3"/>
      <c r="AJ187" s="3"/>
      <c r="AK187" s="3"/>
      <c r="AL187" s="3"/>
      <c r="AM187" s="3"/>
      <c r="AN187" s="3"/>
      <c r="AO187" s="3"/>
      <c r="AP187" s="3"/>
    </row>
    <row r="188" spans="1:42" x14ac:dyDescent="0.3">
      <c r="A188" s="3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5"/>
      <c r="AA188" s="5"/>
      <c r="AB188" s="5"/>
      <c r="AC188" s="5"/>
      <c r="AD188" s="5"/>
      <c r="AE188" s="5"/>
      <c r="AF188" s="5"/>
      <c r="AG188" s="3"/>
      <c r="AH188" s="3"/>
      <c r="AI188" s="3"/>
      <c r="AJ188" s="3"/>
      <c r="AK188" s="3"/>
      <c r="AL188" s="3"/>
      <c r="AM188" s="3"/>
      <c r="AN188" s="3"/>
      <c r="AO188" s="3"/>
      <c r="AP188" s="3"/>
    </row>
    <row r="189" spans="1:42" x14ac:dyDescent="0.3">
      <c r="A189" s="3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5"/>
      <c r="AA189" s="5"/>
      <c r="AB189" s="5"/>
      <c r="AC189" s="5"/>
      <c r="AD189" s="5"/>
      <c r="AE189" s="5"/>
      <c r="AF189" s="5"/>
      <c r="AG189" s="3"/>
      <c r="AH189" s="3"/>
      <c r="AI189" s="3"/>
      <c r="AJ189" s="3"/>
      <c r="AK189" s="3"/>
      <c r="AL189" s="3"/>
      <c r="AM189" s="3"/>
      <c r="AN189" s="3"/>
      <c r="AO189" s="3"/>
      <c r="AP189" s="3"/>
    </row>
    <row r="190" spans="1:42" x14ac:dyDescent="0.3">
      <c r="A190" s="3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5"/>
      <c r="AA190" s="5"/>
      <c r="AB190" s="5"/>
      <c r="AC190" s="5"/>
      <c r="AD190" s="5"/>
      <c r="AE190" s="5"/>
      <c r="AF190" s="5"/>
      <c r="AG190" s="3"/>
      <c r="AH190" s="3"/>
      <c r="AI190" s="3"/>
      <c r="AJ190" s="3"/>
      <c r="AK190" s="3"/>
      <c r="AL190" s="3"/>
      <c r="AM190" s="3"/>
      <c r="AN190" s="3"/>
      <c r="AO190" s="3"/>
      <c r="AP190" s="3"/>
    </row>
    <row r="191" spans="1:42" x14ac:dyDescent="0.3">
      <c r="A191" s="3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5"/>
      <c r="AA191" s="5"/>
      <c r="AB191" s="5"/>
      <c r="AC191" s="5"/>
      <c r="AD191" s="5"/>
      <c r="AE191" s="5"/>
      <c r="AF191" s="5"/>
      <c r="AG191" s="3"/>
      <c r="AH191" s="3"/>
      <c r="AI191" s="3"/>
      <c r="AJ191" s="3"/>
      <c r="AK191" s="3"/>
      <c r="AL191" s="3"/>
      <c r="AM191" s="3"/>
      <c r="AN191" s="3"/>
      <c r="AO191" s="3"/>
      <c r="AP191" s="3"/>
    </row>
    <row r="192" spans="1:42" x14ac:dyDescent="0.3">
      <c r="A192" s="3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5"/>
      <c r="AA192" s="5"/>
      <c r="AB192" s="5"/>
      <c r="AC192" s="5"/>
      <c r="AD192" s="5"/>
      <c r="AE192" s="5"/>
      <c r="AF192" s="5"/>
      <c r="AG192" s="3"/>
      <c r="AH192" s="3"/>
      <c r="AI192" s="3"/>
      <c r="AJ192" s="3"/>
      <c r="AK192" s="3"/>
      <c r="AL192" s="3"/>
      <c r="AM192" s="3"/>
      <c r="AN192" s="3"/>
      <c r="AO192" s="3"/>
      <c r="AP192" s="3"/>
    </row>
    <row r="193" spans="1:42" x14ac:dyDescent="0.3">
      <c r="A193" s="3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5"/>
      <c r="AA193" s="5"/>
      <c r="AB193" s="5"/>
      <c r="AC193" s="5"/>
      <c r="AD193" s="5"/>
      <c r="AE193" s="5"/>
      <c r="AF193" s="5"/>
      <c r="AG193" s="3"/>
      <c r="AH193" s="3"/>
      <c r="AI193" s="3"/>
      <c r="AJ193" s="3"/>
      <c r="AK193" s="3"/>
      <c r="AL193" s="3"/>
      <c r="AM193" s="3"/>
      <c r="AN193" s="3"/>
      <c r="AO193" s="3"/>
      <c r="AP193" s="3"/>
    </row>
    <row r="194" spans="1:42" x14ac:dyDescent="0.3">
      <c r="A194" s="3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5"/>
      <c r="AA194" s="5"/>
      <c r="AB194" s="5"/>
      <c r="AC194" s="5"/>
      <c r="AD194" s="5"/>
      <c r="AE194" s="5"/>
      <c r="AF194" s="5"/>
      <c r="AG194" s="3"/>
      <c r="AH194" s="3"/>
      <c r="AI194" s="3"/>
      <c r="AJ194" s="3"/>
      <c r="AK194" s="3"/>
      <c r="AL194" s="3"/>
      <c r="AM194" s="3"/>
      <c r="AN194" s="3"/>
      <c r="AO194" s="3"/>
      <c r="AP194" s="3"/>
    </row>
    <row r="195" spans="1:42" x14ac:dyDescent="0.3">
      <c r="A195" s="3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5"/>
      <c r="AA195" s="5"/>
      <c r="AB195" s="5"/>
      <c r="AC195" s="5"/>
      <c r="AD195" s="5"/>
      <c r="AE195" s="5"/>
      <c r="AF195" s="5"/>
      <c r="AG195" s="3"/>
      <c r="AH195" s="3"/>
      <c r="AI195" s="3"/>
      <c r="AJ195" s="3"/>
      <c r="AK195" s="3"/>
      <c r="AL195" s="3"/>
      <c r="AM195" s="3"/>
      <c r="AN195" s="3"/>
      <c r="AO195" s="3"/>
      <c r="AP195" s="3"/>
    </row>
    <row r="196" spans="1:42" x14ac:dyDescent="0.3">
      <c r="A196" s="3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5"/>
      <c r="AA196" s="5"/>
      <c r="AB196" s="5"/>
      <c r="AC196" s="5"/>
      <c r="AD196" s="5"/>
      <c r="AE196" s="5"/>
      <c r="AF196" s="5"/>
      <c r="AG196" s="3"/>
      <c r="AH196" s="3"/>
      <c r="AI196" s="3"/>
      <c r="AJ196" s="3"/>
      <c r="AK196" s="3"/>
      <c r="AL196" s="3"/>
      <c r="AM196" s="3"/>
      <c r="AN196" s="3"/>
      <c r="AO196" s="3"/>
      <c r="AP196" s="3"/>
    </row>
    <row r="197" spans="1:42" x14ac:dyDescent="0.3">
      <c r="A197" s="3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5"/>
      <c r="AA197" s="5"/>
      <c r="AB197" s="5"/>
      <c r="AC197" s="5"/>
      <c r="AD197" s="5"/>
      <c r="AE197" s="5"/>
      <c r="AF197" s="5"/>
      <c r="AG197" s="3"/>
      <c r="AH197" s="3"/>
      <c r="AI197" s="3"/>
      <c r="AJ197" s="3"/>
      <c r="AK197" s="3"/>
      <c r="AL197" s="3"/>
      <c r="AM197" s="3"/>
      <c r="AN197" s="3"/>
      <c r="AO197" s="3"/>
      <c r="AP197" s="3"/>
    </row>
    <row r="198" spans="1:42" x14ac:dyDescent="0.3">
      <c r="A198" s="3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5"/>
      <c r="AA198" s="5"/>
      <c r="AB198" s="5"/>
      <c r="AC198" s="5"/>
      <c r="AD198" s="5"/>
      <c r="AE198" s="5"/>
      <c r="AF198" s="5"/>
      <c r="AG198" s="3"/>
      <c r="AH198" s="3"/>
      <c r="AI198" s="3"/>
      <c r="AJ198" s="3"/>
      <c r="AK198" s="3"/>
      <c r="AL198" s="3"/>
      <c r="AM198" s="3"/>
      <c r="AN198" s="3"/>
      <c r="AO198" s="3"/>
      <c r="AP198" s="3"/>
    </row>
    <row r="199" spans="1:42" x14ac:dyDescent="0.3">
      <c r="A199" s="3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5"/>
      <c r="AA199" s="5"/>
      <c r="AB199" s="5"/>
      <c r="AC199" s="5"/>
      <c r="AD199" s="5"/>
      <c r="AE199" s="5"/>
      <c r="AF199" s="5"/>
      <c r="AG199" s="3"/>
      <c r="AH199" s="3"/>
      <c r="AI199" s="3"/>
      <c r="AJ199" s="3"/>
      <c r="AK199" s="3"/>
      <c r="AL199" s="3"/>
      <c r="AM199" s="3"/>
      <c r="AN199" s="3"/>
      <c r="AO199" s="3"/>
      <c r="AP199" s="3"/>
    </row>
    <row r="200" spans="1:42" x14ac:dyDescent="0.3">
      <c r="A200" s="3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5"/>
      <c r="AA200" s="5"/>
      <c r="AB200" s="5"/>
      <c r="AC200" s="5"/>
      <c r="AD200" s="5"/>
      <c r="AE200" s="5"/>
      <c r="AF200" s="5"/>
      <c r="AG200" s="3"/>
      <c r="AH200" s="3"/>
      <c r="AI200" s="3"/>
      <c r="AJ200" s="3"/>
      <c r="AK200" s="3"/>
      <c r="AL200" s="3"/>
      <c r="AM200" s="3"/>
      <c r="AN200" s="3"/>
      <c r="AO200" s="3"/>
      <c r="AP200" s="3"/>
    </row>
    <row r="201" spans="1:42" x14ac:dyDescent="0.3">
      <c r="A201" s="3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5"/>
      <c r="AA201" s="5"/>
      <c r="AB201" s="5"/>
      <c r="AC201" s="5"/>
      <c r="AD201" s="5"/>
      <c r="AE201" s="5"/>
      <c r="AF201" s="5"/>
      <c r="AG201" s="3"/>
      <c r="AH201" s="3"/>
      <c r="AI201" s="3"/>
      <c r="AJ201" s="3"/>
      <c r="AK201" s="3"/>
      <c r="AL201" s="3"/>
      <c r="AM201" s="3"/>
      <c r="AN201" s="3"/>
      <c r="AO201" s="3"/>
      <c r="AP201" s="3"/>
    </row>
    <row r="202" spans="1:42" x14ac:dyDescent="0.3">
      <c r="A202" s="3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5"/>
      <c r="AA202" s="5"/>
      <c r="AB202" s="5"/>
      <c r="AC202" s="5"/>
      <c r="AD202" s="5"/>
      <c r="AE202" s="5"/>
      <c r="AF202" s="5"/>
      <c r="AG202" s="3"/>
      <c r="AH202" s="3"/>
      <c r="AI202" s="3"/>
      <c r="AJ202" s="3"/>
      <c r="AK202" s="3"/>
      <c r="AL202" s="3"/>
      <c r="AM202" s="3"/>
      <c r="AN202" s="3"/>
      <c r="AO202" s="3"/>
      <c r="AP202" s="3"/>
    </row>
    <row r="203" spans="1:42" x14ac:dyDescent="0.3">
      <c r="A203" s="3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5"/>
      <c r="AA203" s="5"/>
      <c r="AB203" s="5"/>
      <c r="AC203" s="5"/>
      <c r="AD203" s="5"/>
      <c r="AE203" s="5"/>
      <c r="AF203" s="5"/>
      <c r="AG203" s="3"/>
      <c r="AH203" s="3"/>
      <c r="AI203" s="3"/>
      <c r="AJ203" s="3"/>
      <c r="AK203" s="3"/>
      <c r="AL203" s="3"/>
      <c r="AM203" s="3"/>
      <c r="AN203" s="3"/>
      <c r="AO203" s="3"/>
      <c r="AP203" s="3"/>
    </row>
    <row r="204" spans="1:42" x14ac:dyDescent="0.3">
      <c r="A204" s="3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5"/>
      <c r="AA204" s="5"/>
      <c r="AB204" s="5"/>
      <c r="AC204" s="5"/>
      <c r="AD204" s="5"/>
      <c r="AE204" s="5"/>
      <c r="AF204" s="5"/>
      <c r="AG204" s="3"/>
      <c r="AH204" s="3"/>
      <c r="AI204" s="3"/>
      <c r="AJ204" s="3"/>
      <c r="AK204" s="3"/>
      <c r="AL204" s="3"/>
      <c r="AM204" s="3"/>
      <c r="AN204" s="3"/>
      <c r="AO204" s="3"/>
      <c r="AP204" s="3"/>
    </row>
    <row r="205" spans="1:42" x14ac:dyDescent="0.3">
      <c r="A205" s="3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5"/>
      <c r="AA205" s="5"/>
      <c r="AB205" s="5"/>
      <c r="AC205" s="5"/>
      <c r="AD205" s="5"/>
      <c r="AE205" s="5"/>
      <c r="AF205" s="5"/>
      <c r="AG205" s="3"/>
      <c r="AH205" s="3"/>
      <c r="AI205" s="3"/>
      <c r="AJ205" s="3"/>
      <c r="AK205" s="3"/>
      <c r="AL205" s="3"/>
      <c r="AM205" s="3"/>
      <c r="AN205" s="3"/>
      <c r="AO205" s="3"/>
      <c r="AP205" s="3"/>
    </row>
    <row r="206" spans="1:42" x14ac:dyDescent="0.3">
      <c r="A206" s="3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5"/>
      <c r="AA206" s="5"/>
      <c r="AB206" s="5"/>
      <c r="AC206" s="5"/>
      <c r="AD206" s="5"/>
      <c r="AE206" s="5"/>
      <c r="AF206" s="5"/>
      <c r="AG206" s="3"/>
      <c r="AH206" s="3"/>
      <c r="AI206" s="3"/>
      <c r="AJ206" s="3"/>
      <c r="AK206" s="3"/>
      <c r="AL206" s="3"/>
      <c r="AM206" s="3"/>
      <c r="AN206" s="3"/>
      <c r="AO206" s="3"/>
      <c r="AP206" s="3"/>
    </row>
    <row r="207" spans="1:42" x14ac:dyDescent="0.3">
      <c r="A207" s="3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5"/>
      <c r="AA207" s="5"/>
      <c r="AB207" s="5"/>
      <c r="AC207" s="5"/>
      <c r="AD207" s="5"/>
      <c r="AE207" s="5"/>
      <c r="AF207" s="5"/>
      <c r="AG207" s="3"/>
      <c r="AH207" s="3"/>
      <c r="AI207" s="3"/>
      <c r="AJ207" s="3"/>
      <c r="AK207" s="3"/>
      <c r="AL207" s="3"/>
      <c r="AM207" s="3"/>
      <c r="AN207" s="3"/>
      <c r="AO207" s="3"/>
      <c r="AP207" s="3"/>
    </row>
    <row r="208" spans="1:42" x14ac:dyDescent="0.3">
      <c r="A208" s="3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5"/>
      <c r="AA208" s="5"/>
      <c r="AB208" s="5"/>
      <c r="AC208" s="5"/>
      <c r="AD208" s="5"/>
      <c r="AE208" s="5"/>
      <c r="AF208" s="5"/>
      <c r="AG208" s="3"/>
      <c r="AH208" s="3"/>
      <c r="AI208" s="3"/>
      <c r="AJ208" s="3"/>
      <c r="AK208" s="3"/>
      <c r="AL208" s="3"/>
      <c r="AM208" s="3"/>
      <c r="AN208" s="3"/>
      <c r="AO208" s="3"/>
      <c r="AP208" s="3"/>
    </row>
    <row r="209" spans="1:42" x14ac:dyDescent="0.3">
      <c r="A209" s="3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5"/>
      <c r="AA209" s="5"/>
      <c r="AB209" s="5"/>
      <c r="AC209" s="5"/>
      <c r="AD209" s="5"/>
      <c r="AE209" s="5"/>
      <c r="AF209" s="5"/>
      <c r="AG209" s="3"/>
      <c r="AH209" s="3"/>
      <c r="AI209" s="3"/>
      <c r="AJ209" s="3"/>
      <c r="AK209" s="3"/>
      <c r="AL209" s="3"/>
      <c r="AM209" s="3"/>
      <c r="AN209" s="3"/>
      <c r="AO209" s="3"/>
      <c r="AP209" s="3"/>
    </row>
    <row r="210" spans="1:42" x14ac:dyDescent="0.3">
      <c r="A210" s="3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5"/>
      <c r="AA210" s="5"/>
      <c r="AB210" s="5"/>
      <c r="AC210" s="5"/>
      <c r="AD210" s="5"/>
      <c r="AE210" s="5"/>
      <c r="AF210" s="5"/>
      <c r="AG210" s="3"/>
      <c r="AH210" s="3"/>
      <c r="AI210" s="3"/>
      <c r="AJ210" s="3"/>
      <c r="AK210" s="3"/>
      <c r="AL210" s="3"/>
      <c r="AM210" s="3"/>
      <c r="AN210" s="3"/>
      <c r="AO210" s="3"/>
      <c r="AP210" s="3"/>
    </row>
    <row r="211" spans="1:42" x14ac:dyDescent="0.3">
      <c r="A211" s="3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5"/>
      <c r="AA211" s="5"/>
      <c r="AB211" s="5"/>
      <c r="AC211" s="5"/>
      <c r="AD211" s="5"/>
      <c r="AE211" s="5"/>
      <c r="AF211" s="5"/>
      <c r="AG211" s="3"/>
      <c r="AH211" s="3"/>
      <c r="AI211" s="3"/>
      <c r="AJ211" s="3"/>
      <c r="AK211" s="3"/>
      <c r="AL211" s="3"/>
      <c r="AM211" s="3"/>
      <c r="AN211" s="3"/>
      <c r="AO211" s="3"/>
      <c r="AP211" s="3"/>
    </row>
    <row r="212" spans="1:42" x14ac:dyDescent="0.3">
      <c r="A212" s="3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5"/>
      <c r="AA212" s="5"/>
      <c r="AB212" s="5"/>
      <c r="AC212" s="5"/>
      <c r="AD212" s="5"/>
      <c r="AE212" s="5"/>
      <c r="AF212" s="5"/>
      <c r="AG212" s="3"/>
      <c r="AH212" s="3"/>
      <c r="AI212" s="3"/>
      <c r="AJ212" s="3"/>
      <c r="AK212" s="3"/>
      <c r="AL212" s="3"/>
      <c r="AM212" s="3"/>
      <c r="AN212" s="3"/>
      <c r="AO212" s="3"/>
      <c r="AP212" s="3"/>
    </row>
    <row r="213" spans="1:42" x14ac:dyDescent="0.3">
      <c r="A213" s="3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5"/>
      <c r="AA213" s="5"/>
      <c r="AB213" s="5"/>
      <c r="AC213" s="5"/>
      <c r="AD213" s="5"/>
      <c r="AE213" s="5"/>
      <c r="AF213" s="5"/>
      <c r="AG213" s="3"/>
      <c r="AH213" s="3"/>
      <c r="AI213" s="3"/>
      <c r="AJ213" s="3"/>
      <c r="AK213" s="3"/>
      <c r="AL213" s="3"/>
      <c r="AM213" s="3"/>
      <c r="AN213" s="3"/>
      <c r="AO213" s="3"/>
      <c r="AP213" s="3"/>
    </row>
    <row r="214" spans="1:42" x14ac:dyDescent="0.3">
      <c r="A214" s="3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5"/>
      <c r="AA214" s="5"/>
      <c r="AB214" s="5"/>
      <c r="AC214" s="5"/>
      <c r="AD214" s="5"/>
      <c r="AE214" s="5"/>
      <c r="AF214" s="5"/>
      <c r="AG214" s="3"/>
      <c r="AH214" s="3"/>
      <c r="AI214" s="3"/>
      <c r="AJ214" s="3"/>
      <c r="AK214" s="3"/>
      <c r="AL214" s="3"/>
      <c r="AM214" s="3"/>
      <c r="AN214" s="3"/>
      <c r="AO214" s="3"/>
      <c r="AP214" s="3"/>
    </row>
    <row r="215" spans="1:42" x14ac:dyDescent="0.3">
      <c r="A215" s="3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5"/>
      <c r="AA215" s="5"/>
      <c r="AB215" s="5"/>
      <c r="AC215" s="5"/>
      <c r="AD215" s="5"/>
      <c r="AE215" s="5"/>
      <c r="AF215" s="5"/>
      <c r="AG215" s="3"/>
      <c r="AH215" s="3"/>
      <c r="AI215" s="3"/>
      <c r="AJ215" s="3"/>
      <c r="AK215" s="3"/>
      <c r="AL215" s="3"/>
      <c r="AM215" s="3"/>
      <c r="AN215" s="3"/>
      <c r="AO215" s="3"/>
      <c r="AP215" s="3"/>
    </row>
    <row r="216" spans="1:42" x14ac:dyDescent="0.3">
      <c r="A216" s="3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5"/>
      <c r="AA216" s="5"/>
      <c r="AB216" s="5"/>
      <c r="AC216" s="5"/>
      <c r="AD216" s="5"/>
      <c r="AE216" s="5"/>
      <c r="AF216" s="5"/>
      <c r="AG216" s="3"/>
      <c r="AH216" s="3"/>
      <c r="AI216" s="3"/>
      <c r="AJ216" s="3"/>
      <c r="AK216" s="3"/>
      <c r="AL216" s="3"/>
      <c r="AM216" s="3"/>
      <c r="AN216" s="3"/>
      <c r="AO216" s="3"/>
      <c r="AP216" s="3"/>
    </row>
    <row r="217" spans="1:42" x14ac:dyDescent="0.3">
      <c r="A217" s="3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5"/>
      <c r="AA217" s="5"/>
      <c r="AB217" s="5"/>
      <c r="AC217" s="5"/>
      <c r="AD217" s="5"/>
      <c r="AE217" s="5"/>
      <c r="AF217" s="5"/>
      <c r="AG217" s="3"/>
      <c r="AH217" s="3"/>
      <c r="AI217" s="3"/>
      <c r="AJ217" s="3"/>
      <c r="AK217" s="3"/>
      <c r="AL217" s="3"/>
      <c r="AM217" s="3"/>
      <c r="AN217" s="3"/>
      <c r="AO217" s="3"/>
      <c r="AP217" s="3"/>
    </row>
    <row r="218" spans="1:42" x14ac:dyDescent="0.3">
      <c r="A218" s="3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5"/>
      <c r="AA218" s="5"/>
      <c r="AB218" s="5"/>
      <c r="AC218" s="5"/>
      <c r="AD218" s="5"/>
      <c r="AE218" s="5"/>
      <c r="AF218" s="5"/>
      <c r="AG218" s="3"/>
      <c r="AH218" s="3"/>
      <c r="AI218" s="3"/>
      <c r="AJ218" s="3"/>
      <c r="AK218" s="3"/>
      <c r="AL218" s="3"/>
      <c r="AM218" s="3"/>
      <c r="AN218" s="3"/>
      <c r="AO218" s="3"/>
      <c r="AP218" s="3"/>
    </row>
    <row r="219" spans="1:42" x14ac:dyDescent="0.3">
      <c r="A219" s="3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5"/>
      <c r="AA219" s="5"/>
      <c r="AB219" s="5"/>
      <c r="AC219" s="5"/>
      <c r="AD219" s="5"/>
      <c r="AE219" s="5"/>
      <c r="AF219" s="5"/>
      <c r="AG219" s="3"/>
      <c r="AH219" s="3"/>
      <c r="AI219" s="3"/>
      <c r="AJ219" s="3"/>
      <c r="AK219" s="3"/>
      <c r="AL219" s="3"/>
      <c r="AM219" s="3"/>
      <c r="AN219" s="3"/>
      <c r="AO219" s="3"/>
      <c r="AP219" s="3"/>
    </row>
    <row r="220" spans="1:42" x14ac:dyDescent="0.3">
      <c r="A220" s="3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5"/>
      <c r="AA220" s="5"/>
      <c r="AB220" s="5"/>
      <c r="AC220" s="5"/>
      <c r="AD220" s="5"/>
      <c r="AE220" s="5"/>
      <c r="AF220" s="5"/>
      <c r="AG220" s="3"/>
      <c r="AH220" s="3"/>
      <c r="AI220" s="3"/>
      <c r="AJ220" s="3"/>
      <c r="AK220" s="3"/>
      <c r="AL220" s="3"/>
      <c r="AM220" s="3"/>
      <c r="AN220" s="3"/>
      <c r="AO220" s="3"/>
      <c r="AP220" s="3"/>
    </row>
    <row r="221" spans="1:42" x14ac:dyDescent="0.3">
      <c r="A221" s="3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5"/>
      <c r="AA221" s="5"/>
      <c r="AB221" s="5"/>
      <c r="AC221" s="5"/>
      <c r="AD221" s="5"/>
      <c r="AE221" s="5"/>
      <c r="AF221" s="5"/>
      <c r="AG221" s="3"/>
      <c r="AH221" s="3"/>
      <c r="AI221" s="3"/>
      <c r="AJ221" s="3"/>
      <c r="AK221" s="3"/>
      <c r="AL221" s="3"/>
      <c r="AM221" s="3"/>
      <c r="AN221" s="3"/>
      <c r="AO221" s="3"/>
      <c r="AP221" s="3"/>
    </row>
    <row r="222" spans="1:42" x14ac:dyDescent="0.3">
      <c r="A222" s="3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5"/>
      <c r="AA222" s="5"/>
      <c r="AB222" s="5"/>
      <c r="AC222" s="5"/>
      <c r="AD222" s="5"/>
      <c r="AE222" s="5"/>
      <c r="AF222" s="5"/>
      <c r="AG222" s="3"/>
      <c r="AH222" s="3"/>
      <c r="AI222" s="3"/>
      <c r="AJ222" s="3"/>
      <c r="AK222" s="3"/>
      <c r="AL222" s="3"/>
      <c r="AM222" s="3"/>
      <c r="AN222" s="3"/>
      <c r="AO222" s="3"/>
      <c r="AP222" s="3"/>
    </row>
    <row r="223" spans="1:42" x14ac:dyDescent="0.3">
      <c r="A223" s="3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5"/>
      <c r="AA223" s="5"/>
      <c r="AB223" s="5"/>
      <c r="AC223" s="5"/>
      <c r="AD223" s="5"/>
      <c r="AE223" s="5"/>
      <c r="AF223" s="5"/>
      <c r="AG223" s="3"/>
      <c r="AH223" s="3"/>
      <c r="AI223" s="3"/>
      <c r="AJ223" s="3"/>
      <c r="AK223" s="3"/>
      <c r="AL223" s="3"/>
      <c r="AM223" s="3"/>
      <c r="AN223" s="3"/>
      <c r="AO223" s="3"/>
      <c r="AP223" s="3"/>
    </row>
    <row r="224" spans="1:42" x14ac:dyDescent="0.3">
      <c r="A224" s="3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5"/>
      <c r="AA224" s="5"/>
      <c r="AB224" s="5"/>
      <c r="AC224" s="5"/>
      <c r="AD224" s="5"/>
      <c r="AE224" s="5"/>
      <c r="AF224" s="5"/>
      <c r="AG224" s="3"/>
      <c r="AH224" s="3"/>
      <c r="AI224" s="3"/>
      <c r="AJ224" s="3"/>
      <c r="AK224" s="3"/>
      <c r="AL224" s="3"/>
      <c r="AM224" s="3"/>
      <c r="AN224" s="3"/>
      <c r="AO224" s="3"/>
      <c r="AP224" s="3"/>
    </row>
    <row r="225" spans="1:42" x14ac:dyDescent="0.3">
      <c r="A225" s="3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5"/>
      <c r="AA225" s="5"/>
      <c r="AB225" s="5"/>
      <c r="AC225" s="5"/>
      <c r="AD225" s="5"/>
      <c r="AE225" s="5"/>
      <c r="AF225" s="5"/>
      <c r="AG225" s="3"/>
      <c r="AH225" s="3"/>
      <c r="AI225" s="3"/>
      <c r="AJ225" s="3"/>
      <c r="AK225" s="3"/>
      <c r="AL225" s="3"/>
      <c r="AM225" s="3"/>
      <c r="AN225" s="3"/>
      <c r="AO225" s="3"/>
      <c r="AP225" s="3"/>
    </row>
    <row r="226" spans="1:42" x14ac:dyDescent="0.3">
      <c r="A226" s="3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5"/>
      <c r="AA226" s="5"/>
      <c r="AB226" s="5"/>
      <c r="AC226" s="5"/>
      <c r="AD226" s="5"/>
      <c r="AE226" s="5"/>
      <c r="AF226" s="5"/>
      <c r="AG226" s="3"/>
      <c r="AH226" s="3"/>
      <c r="AI226" s="3"/>
      <c r="AJ226" s="3"/>
      <c r="AK226" s="3"/>
      <c r="AL226" s="3"/>
      <c r="AM226" s="3"/>
      <c r="AN226" s="3"/>
      <c r="AO226" s="3"/>
      <c r="AP226" s="3"/>
    </row>
    <row r="227" spans="1:42" x14ac:dyDescent="0.3">
      <c r="A227" s="3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5"/>
      <c r="AA227" s="5"/>
      <c r="AB227" s="5"/>
      <c r="AC227" s="5"/>
      <c r="AD227" s="5"/>
      <c r="AE227" s="5"/>
      <c r="AF227" s="5"/>
      <c r="AG227" s="3"/>
      <c r="AH227" s="3"/>
      <c r="AI227" s="3"/>
      <c r="AJ227" s="3"/>
      <c r="AK227" s="3"/>
      <c r="AL227" s="3"/>
      <c r="AM227" s="3"/>
      <c r="AN227" s="3"/>
      <c r="AO227" s="3"/>
      <c r="AP227" s="3"/>
    </row>
    <row r="228" spans="1:42" x14ac:dyDescent="0.3">
      <c r="A228" s="3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5"/>
      <c r="AA228" s="5"/>
      <c r="AB228" s="5"/>
      <c r="AC228" s="5"/>
      <c r="AD228" s="5"/>
      <c r="AE228" s="5"/>
      <c r="AF228" s="5"/>
      <c r="AG228" s="3"/>
      <c r="AH228" s="3"/>
      <c r="AI228" s="3"/>
      <c r="AJ228" s="3"/>
      <c r="AK228" s="3"/>
      <c r="AL228" s="3"/>
      <c r="AM228" s="3"/>
      <c r="AN228" s="3"/>
      <c r="AO228" s="3"/>
      <c r="AP228" s="3"/>
    </row>
    <row r="229" spans="1:42" x14ac:dyDescent="0.3">
      <c r="A229" s="3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5"/>
      <c r="AA229" s="5"/>
      <c r="AB229" s="5"/>
      <c r="AC229" s="5"/>
      <c r="AD229" s="5"/>
      <c r="AE229" s="5"/>
      <c r="AF229" s="5"/>
      <c r="AG229" s="3"/>
      <c r="AH229" s="3"/>
      <c r="AI229" s="3"/>
      <c r="AJ229" s="3"/>
      <c r="AK229" s="3"/>
      <c r="AL229" s="3"/>
      <c r="AM229" s="3"/>
      <c r="AN229" s="3"/>
      <c r="AO229" s="3"/>
      <c r="AP229" s="3"/>
    </row>
    <row r="230" spans="1:42" x14ac:dyDescent="0.3">
      <c r="A230" s="3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5"/>
      <c r="AA230" s="5"/>
      <c r="AB230" s="5"/>
      <c r="AC230" s="5"/>
      <c r="AD230" s="5"/>
      <c r="AE230" s="5"/>
      <c r="AF230" s="5"/>
      <c r="AG230" s="3"/>
      <c r="AH230" s="3"/>
      <c r="AI230" s="3"/>
      <c r="AJ230" s="3"/>
      <c r="AK230" s="3"/>
      <c r="AL230" s="3"/>
      <c r="AM230" s="3"/>
      <c r="AN230" s="3"/>
      <c r="AO230" s="3"/>
      <c r="AP230" s="3"/>
    </row>
    <row r="231" spans="1:42" x14ac:dyDescent="0.3">
      <c r="A231" s="3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5"/>
      <c r="AA231" s="5"/>
      <c r="AB231" s="5"/>
      <c r="AC231" s="5"/>
      <c r="AD231" s="5"/>
      <c r="AE231" s="5"/>
      <c r="AF231" s="5"/>
      <c r="AG231" s="3"/>
      <c r="AH231" s="3"/>
      <c r="AI231" s="3"/>
      <c r="AJ231" s="3"/>
      <c r="AK231" s="3"/>
      <c r="AL231" s="3"/>
      <c r="AM231" s="3"/>
      <c r="AN231" s="3"/>
      <c r="AO231" s="3"/>
      <c r="AP231" s="3"/>
    </row>
    <row r="232" spans="1:42" x14ac:dyDescent="0.3">
      <c r="A232" s="3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5"/>
      <c r="AA232" s="5"/>
      <c r="AB232" s="5"/>
      <c r="AC232" s="5"/>
      <c r="AD232" s="5"/>
      <c r="AE232" s="5"/>
      <c r="AF232" s="5"/>
      <c r="AG232" s="3"/>
      <c r="AH232" s="3"/>
      <c r="AI232" s="3"/>
      <c r="AJ232" s="3"/>
      <c r="AK232" s="3"/>
      <c r="AL232" s="3"/>
      <c r="AM232" s="3"/>
      <c r="AN232" s="3"/>
      <c r="AO232" s="3"/>
      <c r="AP232" s="3"/>
    </row>
    <row r="233" spans="1:42" x14ac:dyDescent="0.3">
      <c r="A233" s="3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5"/>
      <c r="AA233" s="5"/>
      <c r="AB233" s="5"/>
      <c r="AC233" s="5"/>
      <c r="AD233" s="5"/>
      <c r="AE233" s="5"/>
      <c r="AF233" s="5"/>
      <c r="AG233" s="3"/>
      <c r="AH233" s="3"/>
      <c r="AI233" s="3"/>
      <c r="AJ233" s="3"/>
      <c r="AK233" s="3"/>
      <c r="AL233" s="3"/>
      <c r="AM233" s="3"/>
      <c r="AN233" s="3"/>
      <c r="AO233" s="3"/>
      <c r="AP233" s="3"/>
    </row>
    <row r="234" spans="1:42" x14ac:dyDescent="0.3">
      <c r="A234" s="3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5"/>
      <c r="AA234" s="5"/>
      <c r="AB234" s="5"/>
      <c r="AC234" s="5"/>
      <c r="AD234" s="5"/>
      <c r="AE234" s="5"/>
      <c r="AF234" s="5"/>
      <c r="AG234" s="3"/>
      <c r="AH234" s="3"/>
      <c r="AI234" s="3"/>
      <c r="AJ234" s="3"/>
      <c r="AK234" s="3"/>
      <c r="AL234" s="3"/>
      <c r="AM234" s="3"/>
      <c r="AN234" s="3"/>
      <c r="AO234" s="3"/>
      <c r="AP234" s="3"/>
    </row>
    <row r="235" spans="1:42" x14ac:dyDescent="0.3">
      <c r="A235" s="3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5"/>
      <c r="AA235" s="5"/>
      <c r="AB235" s="5"/>
      <c r="AC235" s="5"/>
      <c r="AD235" s="5"/>
      <c r="AE235" s="5"/>
      <c r="AF235" s="5"/>
      <c r="AG235" s="3"/>
      <c r="AH235" s="3"/>
      <c r="AI235" s="3"/>
      <c r="AJ235" s="3"/>
      <c r="AK235" s="3"/>
      <c r="AL235" s="3"/>
      <c r="AM235" s="3"/>
      <c r="AN235" s="3"/>
      <c r="AO235" s="3"/>
      <c r="AP235" s="3"/>
    </row>
    <row r="236" spans="1:42" x14ac:dyDescent="0.3">
      <c r="A236" s="3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5"/>
      <c r="AA236" s="5"/>
      <c r="AB236" s="5"/>
      <c r="AC236" s="5"/>
      <c r="AD236" s="5"/>
      <c r="AE236" s="5"/>
      <c r="AF236" s="5"/>
      <c r="AG236" s="3"/>
      <c r="AH236" s="3"/>
      <c r="AI236" s="3"/>
      <c r="AJ236" s="3"/>
      <c r="AK236" s="3"/>
      <c r="AL236" s="3"/>
      <c r="AM236" s="3"/>
      <c r="AN236" s="3"/>
      <c r="AO236" s="3"/>
      <c r="AP236" s="3"/>
    </row>
    <row r="237" spans="1:42" x14ac:dyDescent="0.3">
      <c r="A237" s="3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5"/>
      <c r="AA237" s="5"/>
      <c r="AB237" s="5"/>
      <c r="AC237" s="5"/>
      <c r="AD237" s="5"/>
      <c r="AE237" s="5"/>
      <c r="AF237" s="5"/>
      <c r="AG237" s="3"/>
      <c r="AH237" s="3"/>
      <c r="AI237" s="3"/>
      <c r="AJ237" s="3"/>
      <c r="AK237" s="3"/>
      <c r="AL237" s="3"/>
      <c r="AM237" s="3"/>
      <c r="AN237" s="3"/>
      <c r="AO237" s="3"/>
      <c r="AP237" s="3"/>
    </row>
    <row r="238" spans="1:42" x14ac:dyDescent="0.3">
      <c r="A238" s="3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5"/>
      <c r="AA238" s="5"/>
      <c r="AB238" s="5"/>
      <c r="AC238" s="5"/>
      <c r="AD238" s="5"/>
      <c r="AE238" s="5"/>
      <c r="AF238" s="5"/>
      <c r="AG238" s="3"/>
      <c r="AH238" s="3"/>
      <c r="AI238" s="3"/>
      <c r="AJ238" s="3"/>
      <c r="AK238" s="3"/>
      <c r="AL238" s="3"/>
      <c r="AM238" s="3"/>
      <c r="AN238" s="3"/>
      <c r="AO238" s="3"/>
      <c r="AP238" s="3"/>
    </row>
    <row r="239" spans="1:42" x14ac:dyDescent="0.3">
      <c r="A239" s="3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5"/>
      <c r="AA239" s="5"/>
      <c r="AB239" s="5"/>
      <c r="AC239" s="5"/>
      <c r="AD239" s="5"/>
      <c r="AE239" s="5"/>
      <c r="AF239" s="5"/>
      <c r="AG239" s="3"/>
      <c r="AH239" s="3"/>
      <c r="AI239" s="3"/>
      <c r="AJ239" s="3"/>
      <c r="AK239" s="3"/>
      <c r="AL239" s="3"/>
      <c r="AM239" s="3"/>
      <c r="AN239" s="3"/>
      <c r="AO239" s="3"/>
      <c r="AP239" s="3"/>
    </row>
    <row r="240" spans="1:42" x14ac:dyDescent="0.3">
      <c r="A240" s="3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5"/>
      <c r="AA240" s="5"/>
      <c r="AB240" s="5"/>
      <c r="AC240" s="5"/>
      <c r="AD240" s="5"/>
      <c r="AE240" s="5"/>
      <c r="AF240" s="5"/>
      <c r="AG240" s="3"/>
      <c r="AH240" s="3"/>
      <c r="AI240" s="3"/>
      <c r="AJ240" s="3"/>
      <c r="AK240" s="3"/>
      <c r="AL240" s="3"/>
      <c r="AM240" s="3"/>
      <c r="AN240" s="3"/>
      <c r="AO240" s="3"/>
      <c r="AP240" s="3"/>
    </row>
    <row r="241" spans="1:42" x14ac:dyDescent="0.3">
      <c r="A241" s="3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5"/>
      <c r="AA241" s="5"/>
      <c r="AB241" s="5"/>
      <c r="AC241" s="5"/>
      <c r="AD241" s="5"/>
      <c r="AE241" s="5"/>
      <c r="AF241" s="5"/>
      <c r="AG241" s="3"/>
      <c r="AH241" s="3"/>
      <c r="AI241" s="3"/>
      <c r="AJ241" s="3"/>
      <c r="AK241" s="3"/>
      <c r="AL241" s="3"/>
      <c r="AM241" s="3"/>
      <c r="AN241" s="3"/>
      <c r="AO241" s="3"/>
      <c r="AP241" s="3"/>
    </row>
    <row r="242" spans="1:42" x14ac:dyDescent="0.3">
      <c r="A242" s="3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5"/>
      <c r="AA242" s="5"/>
      <c r="AB242" s="5"/>
      <c r="AC242" s="5"/>
      <c r="AD242" s="5"/>
      <c r="AE242" s="5"/>
      <c r="AF242" s="5"/>
      <c r="AG242" s="3"/>
      <c r="AH242" s="3"/>
      <c r="AI242" s="3"/>
      <c r="AJ242" s="3"/>
      <c r="AK242" s="3"/>
      <c r="AL242" s="3"/>
      <c r="AM242" s="3"/>
      <c r="AN242" s="3"/>
      <c r="AO242" s="3"/>
      <c r="AP242" s="3"/>
    </row>
    <row r="243" spans="1:42" x14ac:dyDescent="0.3">
      <c r="A243" s="3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5"/>
      <c r="AA243" s="5"/>
      <c r="AB243" s="5"/>
      <c r="AC243" s="5"/>
      <c r="AD243" s="5"/>
      <c r="AE243" s="5"/>
      <c r="AF243" s="5"/>
      <c r="AG243" s="3"/>
      <c r="AH243" s="3"/>
      <c r="AI243" s="3"/>
      <c r="AJ243" s="3"/>
      <c r="AK243" s="3"/>
      <c r="AL243" s="3"/>
      <c r="AM243" s="3"/>
      <c r="AN243" s="3"/>
      <c r="AO243" s="3"/>
      <c r="AP243" s="3"/>
    </row>
    <row r="244" spans="1:42" x14ac:dyDescent="0.3">
      <c r="A244" s="3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5"/>
      <c r="AA244" s="5"/>
      <c r="AB244" s="5"/>
      <c r="AC244" s="5"/>
      <c r="AD244" s="5"/>
      <c r="AE244" s="5"/>
      <c r="AF244" s="5"/>
      <c r="AG244" s="3"/>
      <c r="AH244" s="3"/>
      <c r="AI244" s="3"/>
      <c r="AJ244" s="3"/>
      <c r="AK244" s="3"/>
      <c r="AL244" s="3"/>
      <c r="AM244" s="3"/>
      <c r="AN244" s="3"/>
      <c r="AO244" s="3"/>
      <c r="AP244" s="3"/>
    </row>
    <row r="245" spans="1:42" x14ac:dyDescent="0.3">
      <c r="A245" s="3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5"/>
      <c r="AA245" s="5"/>
      <c r="AB245" s="5"/>
      <c r="AC245" s="5"/>
      <c r="AD245" s="5"/>
      <c r="AE245" s="5"/>
      <c r="AF245" s="5"/>
      <c r="AG245" s="3"/>
      <c r="AH245" s="3"/>
      <c r="AI245" s="3"/>
      <c r="AJ245" s="3"/>
      <c r="AK245" s="3"/>
      <c r="AL245" s="3"/>
      <c r="AM245" s="3"/>
      <c r="AN245" s="3"/>
      <c r="AO245" s="3"/>
      <c r="AP245" s="3"/>
    </row>
    <row r="246" spans="1:42" x14ac:dyDescent="0.3">
      <c r="A246" s="3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5"/>
      <c r="AA246" s="5"/>
      <c r="AB246" s="5"/>
      <c r="AC246" s="5"/>
      <c r="AD246" s="5"/>
      <c r="AE246" s="5"/>
      <c r="AF246" s="5"/>
      <c r="AG246" s="3"/>
      <c r="AH246" s="3"/>
      <c r="AI246" s="3"/>
      <c r="AJ246" s="3"/>
      <c r="AK246" s="3"/>
      <c r="AL246" s="3"/>
      <c r="AM246" s="3"/>
      <c r="AN246" s="3"/>
      <c r="AO246" s="3"/>
      <c r="AP246" s="3"/>
    </row>
    <row r="247" spans="1:42" x14ac:dyDescent="0.3">
      <c r="A247" s="3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5"/>
      <c r="AA247" s="5"/>
      <c r="AB247" s="5"/>
      <c r="AC247" s="5"/>
      <c r="AD247" s="5"/>
      <c r="AE247" s="5"/>
      <c r="AF247" s="5"/>
      <c r="AG247" s="3"/>
      <c r="AH247" s="3"/>
      <c r="AI247" s="3"/>
      <c r="AJ247" s="3"/>
      <c r="AK247" s="3"/>
      <c r="AL247" s="3"/>
      <c r="AM247" s="3"/>
      <c r="AN247" s="3"/>
      <c r="AO247" s="3"/>
      <c r="AP247" s="3"/>
    </row>
    <row r="248" spans="1:42" x14ac:dyDescent="0.3">
      <c r="A248" s="3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5"/>
      <c r="AA248" s="5"/>
      <c r="AB248" s="5"/>
      <c r="AC248" s="5"/>
      <c r="AD248" s="5"/>
      <c r="AE248" s="5"/>
      <c r="AF248" s="5"/>
      <c r="AG248" s="3"/>
      <c r="AH248" s="3"/>
      <c r="AI248" s="3"/>
      <c r="AJ248" s="3"/>
      <c r="AK248" s="3"/>
      <c r="AL248" s="3"/>
      <c r="AM248" s="3"/>
      <c r="AN248" s="3"/>
      <c r="AO248" s="3"/>
      <c r="AP248" s="3"/>
    </row>
    <row r="249" spans="1:42" x14ac:dyDescent="0.3">
      <c r="A249" s="3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5"/>
      <c r="AA249" s="5"/>
      <c r="AB249" s="5"/>
      <c r="AC249" s="5"/>
      <c r="AD249" s="5"/>
      <c r="AE249" s="5"/>
      <c r="AF249" s="5"/>
      <c r="AG249" s="3"/>
      <c r="AH249" s="3"/>
      <c r="AI249" s="3"/>
      <c r="AJ249" s="3"/>
      <c r="AK249" s="3"/>
      <c r="AL249" s="3"/>
      <c r="AM249" s="3"/>
      <c r="AN249" s="3"/>
      <c r="AO249" s="3"/>
      <c r="AP249" s="3"/>
    </row>
    <row r="250" spans="1:42" x14ac:dyDescent="0.3">
      <c r="A250" s="3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5"/>
      <c r="AA250" s="5"/>
      <c r="AB250" s="5"/>
      <c r="AC250" s="5"/>
      <c r="AD250" s="5"/>
      <c r="AE250" s="5"/>
      <c r="AF250" s="5"/>
      <c r="AG250" s="3"/>
      <c r="AH250" s="3"/>
      <c r="AI250" s="3"/>
      <c r="AJ250" s="3"/>
      <c r="AK250" s="3"/>
      <c r="AL250" s="3"/>
      <c r="AM250" s="3"/>
      <c r="AN250" s="3"/>
      <c r="AO250" s="3"/>
      <c r="AP250" s="3"/>
    </row>
    <row r="251" spans="1:42" x14ac:dyDescent="0.3">
      <c r="A251" s="3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5"/>
      <c r="AA251" s="5"/>
      <c r="AB251" s="5"/>
      <c r="AC251" s="5"/>
      <c r="AD251" s="5"/>
      <c r="AE251" s="5"/>
      <c r="AF251" s="5"/>
      <c r="AG251" s="3"/>
      <c r="AH251" s="3"/>
      <c r="AI251" s="3"/>
      <c r="AJ251" s="3"/>
      <c r="AK251" s="3"/>
      <c r="AL251" s="3"/>
      <c r="AM251" s="3"/>
      <c r="AN251" s="3"/>
      <c r="AO251" s="3"/>
      <c r="AP251" s="3"/>
    </row>
    <row r="252" spans="1:42" x14ac:dyDescent="0.3">
      <c r="A252" s="3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5"/>
      <c r="AA252" s="5"/>
      <c r="AB252" s="5"/>
      <c r="AC252" s="5"/>
      <c r="AD252" s="5"/>
      <c r="AE252" s="5"/>
      <c r="AF252" s="5"/>
      <c r="AG252" s="3"/>
      <c r="AH252" s="3"/>
      <c r="AI252" s="3"/>
      <c r="AJ252" s="3"/>
      <c r="AK252" s="3"/>
      <c r="AL252" s="3"/>
      <c r="AM252" s="3"/>
      <c r="AN252" s="3"/>
      <c r="AO252" s="3"/>
      <c r="AP252" s="3"/>
    </row>
    <row r="253" spans="1:42" x14ac:dyDescent="0.3">
      <c r="A253" s="3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5"/>
      <c r="AA253" s="5"/>
      <c r="AB253" s="5"/>
      <c r="AC253" s="5"/>
      <c r="AD253" s="5"/>
      <c r="AE253" s="5"/>
      <c r="AF253" s="5"/>
      <c r="AG253" s="3"/>
      <c r="AH253" s="3"/>
      <c r="AI253" s="3"/>
      <c r="AJ253" s="3"/>
      <c r="AK253" s="3"/>
      <c r="AL253" s="3"/>
      <c r="AM253" s="3"/>
      <c r="AN253" s="3"/>
      <c r="AO253" s="3"/>
      <c r="AP253" s="3"/>
    </row>
    <row r="254" spans="1:42" x14ac:dyDescent="0.3">
      <c r="A254" s="3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5"/>
      <c r="AA254" s="5"/>
      <c r="AB254" s="5"/>
      <c r="AC254" s="5"/>
      <c r="AD254" s="5"/>
      <c r="AE254" s="5"/>
      <c r="AF254" s="5"/>
      <c r="AG254" s="3"/>
      <c r="AH254" s="3"/>
      <c r="AI254" s="3"/>
      <c r="AJ254" s="3"/>
      <c r="AK254" s="3"/>
      <c r="AL254" s="3"/>
      <c r="AM254" s="3"/>
      <c r="AN254" s="3"/>
      <c r="AO254" s="3"/>
      <c r="AP254" s="3"/>
    </row>
    <row r="255" spans="1:42" x14ac:dyDescent="0.3">
      <c r="A255" s="3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5"/>
      <c r="AA255" s="5"/>
      <c r="AB255" s="5"/>
      <c r="AC255" s="5"/>
      <c r="AD255" s="5"/>
      <c r="AE255" s="5"/>
      <c r="AF255" s="5"/>
      <c r="AG255" s="3"/>
      <c r="AH255" s="3"/>
      <c r="AI255" s="3"/>
      <c r="AJ255" s="3"/>
      <c r="AK255" s="3"/>
      <c r="AL255" s="3"/>
      <c r="AM255" s="3"/>
      <c r="AN255" s="3"/>
      <c r="AO255" s="3"/>
      <c r="AP255" s="3"/>
    </row>
    <row r="256" spans="1:42" x14ac:dyDescent="0.3">
      <c r="A256" s="3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5"/>
      <c r="AA256" s="5"/>
      <c r="AB256" s="5"/>
      <c r="AC256" s="5"/>
      <c r="AD256" s="5"/>
      <c r="AE256" s="5"/>
      <c r="AF256" s="5"/>
      <c r="AG256" s="3"/>
      <c r="AH256" s="3"/>
      <c r="AI256" s="3"/>
      <c r="AJ256" s="3"/>
      <c r="AK256" s="3"/>
      <c r="AL256" s="3"/>
      <c r="AM256" s="3"/>
      <c r="AN256" s="3"/>
      <c r="AO256" s="3"/>
      <c r="AP256" s="3"/>
    </row>
    <row r="257" spans="1:42" x14ac:dyDescent="0.3">
      <c r="A257" s="3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3"/>
      <c r="AH257" s="3"/>
      <c r="AI257" s="3"/>
      <c r="AJ257" s="3"/>
      <c r="AK257" s="3"/>
      <c r="AL257" s="3"/>
      <c r="AM257" s="3"/>
      <c r="AN257" s="3"/>
      <c r="AO257" s="3"/>
      <c r="AP257" s="3"/>
    </row>
    <row r="258" spans="1:42" x14ac:dyDescent="0.3">
      <c r="A258" s="3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3"/>
      <c r="AH258" s="3"/>
      <c r="AI258" s="3"/>
      <c r="AJ258" s="3"/>
      <c r="AK258" s="3"/>
      <c r="AL258" s="3"/>
      <c r="AM258" s="3"/>
      <c r="AN258" s="3"/>
      <c r="AO258" s="3"/>
      <c r="AP258" s="3"/>
    </row>
    <row r="259" spans="1:42" x14ac:dyDescent="0.3">
      <c r="A259" s="3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3"/>
      <c r="AH259" s="3"/>
      <c r="AI259" s="3"/>
      <c r="AJ259" s="3"/>
      <c r="AK259" s="3"/>
      <c r="AL259" s="3"/>
      <c r="AM259" s="3"/>
      <c r="AN259" s="3"/>
      <c r="AO259" s="3"/>
      <c r="AP259" s="3"/>
    </row>
    <row r="260" spans="1:42" x14ac:dyDescent="0.3">
      <c r="A260" s="3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3"/>
      <c r="AH260" s="3"/>
      <c r="AI260" s="3"/>
      <c r="AJ260" s="3"/>
      <c r="AK260" s="3"/>
      <c r="AL260" s="3"/>
      <c r="AM260" s="3"/>
      <c r="AN260" s="3"/>
      <c r="AO260" s="3"/>
      <c r="AP260" s="3"/>
    </row>
    <row r="261" spans="1:42" x14ac:dyDescent="0.3">
      <c r="A261" s="3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3"/>
      <c r="AH261" s="3"/>
      <c r="AI261" s="3"/>
      <c r="AJ261" s="3"/>
      <c r="AK261" s="3"/>
      <c r="AL261" s="3"/>
      <c r="AM261" s="3"/>
      <c r="AN261" s="3"/>
      <c r="AO261" s="3"/>
      <c r="AP261" s="3"/>
    </row>
    <row r="262" spans="1:42" x14ac:dyDescent="0.3">
      <c r="A262" s="3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3"/>
      <c r="AH262" s="3"/>
      <c r="AI262" s="3"/>
      <c r="AJ262" s="3"/>
      <c r="AK262" s="3"/>
      <c r="AL262" s="3"/>
      <c r="AM262" s="3"/>
      <c r="AN262" s="3"/>
      <c r="AO262" s="3"/>
      <c r="AP262" s="3"/>
    </row>
    <row r="263" spans="1:42" x14ac:dyDescent="0.3">
      <c r="A263" s="3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3"/>
      <c r="AH263" s="3"/>
      <c r="AI263" s="3"/>
      <c r="AJ263" s="3"/>
      <c r="AK263" s="3"/>
      <c r="AL263" s="3"/>
      <c r="AM263" s="3"/>
      <c r="AN263" s="3"/>
      <c r="AO263" s="3"/>
      <c r="AP263" s="3"/>
    </row>
    <row r="264" spans="1:42" x14ac:dyDescent="0.3">
      <c r="A264" s="3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3"/>
      <c r="AH264" s="3"/>
      <c r="AI264" s="3"/>
      <c r="AJ264" s="3"/>
      <c r="AK264" s="3"/>
      <c r="AL264" s="3"/>
      <c r="AM264" s="3"/>
      <c r="AN264" s="3"/>
      <c r="AO264" s="3"/>
      <c r="AP264" s="3"/>
    </row>
    <row r="265" spans="1:42" x14ac:dyDescent="0.3">
      <c r="A265" s="3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3"/>
      <c r="AH265" s="3"/>
      <c r="AI265" s="3"/>
      <c r="AJ265" s="3"/>
      <c r="AK265" s="3"/>
      <c r="AL265" s="3"/>
      <c r="AM265" s="3"/>
      <c r="AN265" s="3"/>
      <c r="AO265" s="3"/>
      <c r="AP265" s="3"/>
    </row>
    <row r="266" spans="1:42" x14ac:dyDescent="0.3">
      <c r="A266" s="3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3"/>
      <c r="AH266" s="3"/>
      <c r="AI266" s="3"/>
      <c r="AJ266" s="3"/>
      <c r="AK266" s="3"/>
      <c r="AL266" s="3"/>
      <c r="AM266" s="3"/>
      <c r="AN266" s="3"/>
      <c r="AO266" s="3"/>
      <c r="AP266" s="3"/>
    </row>
    <row r="267" spans="1:42" x14ac:dyDescent="0.3">
      <c r="A267" s="3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3"/>
      <c r="AH267" s="3"/>
      <c r="AI267" s="3"/>
      <c r="AJ267" s="3"/>
      <c r="AK267" s="3"/>
      <c r="AL267" s="3"/>
      <c r="AM267" s="3"/>
      <c r="AN267" s="3"/>
      <c r="AO267" s="3"/>
      <c r="AP267" s="3"/>
    </row>
    <row r="268" spans="1:42" x14ac:dyDescent="0.3">
      <c r="A268" s="3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3"/>
      <c r="AH268" s="3"/>
      <c r="AI268" s="3"/>
      <c r="AJ268" s="3"/>
      <c r="AK268" s="3"/>
      <c r="AL268" s="3"/>
      <c r="AM268" s="3"/>
      <c r="AN268" s="3"/>
      <c r="AO268" s="3"/>
      <c r="AP268" s="3"/>
    </row>
    <row r="269" spans="1:42" x14ac:dyDescent="0.3">
      <c r="A269" s="3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3"/>
      <c r="AH269" s="3"/>
      <c r="AI269" s="3"/>
      <c r="AJ269" s="3"/>
      <c r="AK269" s="3"/>
      <c r="AL269" s="3"/>
      <c r="AM269" s="3"/>
      <c r="AN269" s="3"/>
      <c r="AO269" s="3"/>
      <c r="AP269" s="3"/>
    </row>
    <row r="270" spans="1:42" x14ac:dyDescent="0.3">
      <c r="A270" s="3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3"/>
      <c r="AH270" s="3"/>
      <c r="AI270" s="3"/>
      <c r="AJ270" s="3"/>
      <c r="AK270" s="3"/>
      <c r="AL270" s="3"/>
      <c r="AM270" s="3"/>
      <c r="AN270" s="3"/>
      <c r="AO270" s="3"/>
      <c r="AP270" s="3"/>
    </row>
    <row r="271" spans="1:42" x14ac:dyDescent="0.3">
      <c r="A271" s="3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3"/>
      <c r="AH271" s="3"/>
      <c r="AI271" s="3"/>
      <c r="AJ271" s="3"/>
      <c r="AK271" s="3"/>
      <c r="AL271" s="3"/>
      <c r="AM271" s="3"/>
      <c r="AN271" s="3"/>
      <c r="AO271" s="3"/>
      <c r="AP271" s="3"/>
    </row>
    <row r="272" spans="1:42" x14ac:dyDescent="0.3">
      <c r="A272" s="3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3"/>
      <c r="AH272" s="3"/>
      <c r="AI272" s="3"/>
      <c r="AJ272" s="3"/>
      <c r="AK272" s="3"/>
      <c r="AL272" s="3"/>
      <c r="AM272" s="3"/>
      <c r="AN272" s="3"/>
      <c r="AO272" s="3"/>
      <c r="AP272" s="3"/>
    </row>
    <row r="273" spans="1:42" x14ac:dyDescent="0.3">
      <c r="A273" s="3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3"/>
      <c r="AH273" s="3"/>
      <c r="AI273" s="3"/>
      <c r="AJ273" s="3"/>
      <c r="AK273" s="3"/>
      <c r="AL273" s="3"/>
      <c r="AM273" s="3"/>
      <c r="AN273" s="3"/>
      <c r="AO273" s="3"/>
      <c r="AP273" s="3"/>
    </row>
    <row r="274" spans="1:42" x14ac:dyDescent="0.3">
      <c r="A274" s="3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3"/>
      <c r="AH274" s="3"/>
      <c r="AI274" s="3"/>
      <c r="AJ274" s="3"/>
      <c r="AK274" s="3"/>
      <c r="AL274" s="3"/>
      <c r="AM274" s="3"/>
      <c r="AN274" s="3"/>
      <c r="AO274" s="3"/>
      <c r="AP274" s="3"/>
    </row>
    <row r="275" spans="1:42" x14ac:dyDescent="0.3">
      <c r="A275" s="3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3"/>
      <c r="AH275" s="3"/>
      <c r="AI275" s="3"/>
      <c r="AJ275" s="3"/>
      <c r="AK275" s="3"/>
      <c r="AL275" s="3"/>
      <c r="AM275" s="3"/>
      <c r="AN275" s="3"/>
      <c r="AO275" s="3"/>
      <c r="AP275" s="3"/>
    </row>
    <row r="276" spans="1:42" x14ac:dyDescent="0.3">
      <c r="A276" s="3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3"/>
      <c r="AH276" s="3"/>
      <c r="AI276" s="3"/>
      <c r="AJ276" s="3"/>
      <c r="AK276" s="3"/>
      <c r="AL276" s="3"/>
      <c r="AM276" s="3"/>
      <c r="AN276" s="3"/>
      <c r="AO276" s="3"/>
      <c r="AP276" s="3"/>
    </row>
    <row r="277" spans="1:42" x14ac:dyDescent="0.3">
      <c r="A277" s="3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3"/>
      <c r="AH277" s="3"/>
      <c r="AI277" s="3"/>
      <c r="AJ277" s="3"/>
      <c r="AK277" s="3"/>
      <c r="AL277" s="3"/>
      <c r="AM277" s="3"/>
      <c r="AN277" s="3"/>
      <c r="AO277" s="3"/>
      <c r="AP277" s="3"/>
    </row>
    <row r="278" spans="1:42" x14ac:dyDescent="0.3">
      <c r="A278" s="3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3"/>
      <c r="AH278" s="3"/>
      <c r="AI278" s="3"/>
      <c r="AJ278" s="3"/>
      <c r="AK278" s="3"/>
      <c r="AL278" s="3"/>
      <c r="AM278" s="3"/>
      <c r="AN278" s="3"/>
      <c r="AO278" s="3"/>
      <c r="AP278" s="3"/>
    </row>
    <row r="279" spans="1:42" x14ac:dyDescent="0.3">
      <c r="A279" s="3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3"/>
      <c r="AH279" s="3"/>
      <c r="AI279" s="3"/>
      <c r="AJ279" s="3"/>
      <c r="AK279" s="3"/>
      <c r="AL279" s="3"/>
      <c r="AM279" s="3"/>
      <c r="AN279" s="3"/>
      <c r="AO279" s="3"/>
      <c r="AP279" s="3"/>
    </row>
    <row r="280" spans="1:42" x14ac:dyDescent="0.3">
      <c r="A280" s="3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3"/>
      <c r="AH280" s="3"/>
      <c r="AI280" s="3"/>
      <c r="AJ280" s="3"/>
      <c r="AK280" s="3"/>
      <c r="AL280" s="3"/>
      <c r="AM280" s="3"/>
      <c r="AN280" s="3"/>
      <c r="AO280" s="3"/>
      <c r="AP280" s="3"/>
    </row>
    <row r="281" spans="1:42" x14ac:dyDescent="0.3">
      <c r="A281" s="3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3"/>
      <c r="AH281" s="3"/>
      <c r="AI281" s="3"/>
      <c r="AJ281" s="3"/>
      <c r="AK281" s="3"/>
      <c r="AL281" s="3"/>
      <c r="AM281" s="3"/>
      <c r="AN281" s="3"/>
      <c r="AO281" s="3"/>
      <c r="AP281" s="3"/>
    </row>
    <row r="282" spans="1:42" x14ac:dyDescent="0.3">
      <c r="A282" s="3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3"/>
      <c r="AH282" s="3"/>
      <c r="AI282" s="3"/>
      <c r="AJ282" s="3"/>
      <c r="AK282" s="3"/>
      <c r="AL282" s="3"/>
      <c r="AM282" s="3"/>
      <c r="AN282" s="3"/>
      <c r="AO282" s="3"/>
      <c r="AP282" s="3"/>
    </row>
    <row r="283" spans="1:42" x14ac:dyDescent="0.3">
      <c r="A283" s="3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3"/>
      <c r="AH283" s="3"/>
      <c r="AI283" s="3"/>
      <c r="AJ283" s="3"/>
      <c r="AK283" s="3"/>
      <c r="AL283" s="3"/>
      <c r="AM283" s="3"/>
      <c r="AN283" s="3"/>
      <c r="AO283" s="3"/>
      <c r="AP283" s="3"/>
    </row>
    <row r="284" spans="1:42" x14ac:dyDescent="0.3">
      <c r="A284" s="3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3"/>
      <c r="AH284" s="3"/>
      <c r="AI284" s="3"/>
      <c r="AJ284" s="3"/>
      <c r="AK284" s="3"/>
      <c r="AL284" s="3"/>
      <c r="AM284" s="3"/>
      <c r="AN284" s="3"/>
      <c r="AO284" s="3"/>
      <c r="AP284" s="3"/>
    </row>
    <row r="285" spans="1:42" x14ac:dyDescent="0.3">
      <c r="A285" s="3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3"/>
      <c r="AH285" s="3"/>
      <c r="AI285" s="3"/>
      <c r="AJ285" s="3"/>
      <c r="AK285" s="3"/>
      <c r="AL285" s="3"/>
      <c r="AM285" s="3"/>
      <c r="AN285" s="3"/>
      <c r="AO285" s="3"/>
      <c r="AP285" s="3"/>
    </row>
    <row r="286" spans="1:42" x14ac:dyDescent="0.3">
      <c r="A286" s="3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3"/>
      <c r="AH286" s="3"/>
      <c r="AI286" s="3"/>
      <c r="AJ286" s="3"/>
      <c r="AK286" s="3"/>
      <c r="AL286" s="3"/>
      <c r="AM286" s="3"/>
      <c r="AN286" s="3"/>
      <c r="AO286" s="3"/>
      <c r="AP286" s="3"/>
    </row>
    <row r="287" spans="1:42" x14ac:dyDescent="0.3">
      <c r="A287" s="3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3"/>
      <c r="AH287" s="3"/>
      <c r="AI287" s="3"/>
      <c r="AJ287" s="3"/>
      <c r="AK287" s="3"/>
      <c r="AL287" s="3"/>
      <c r="AM287" s="3"/>
      <c r="AN287" s="3"/>
      <c r="AO287" s="3"/>
      <c r="AP287" s="3"/>
    </row>
    <row r="288" spans="1:42" x14ac:dyDescent="0.3">
      <c r="A288" s="3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3"/>
      <c r="AH288" s="3"/>
      <c r="AI288" s="3"/>
      <c r="AJ288" s="3"/>
      <c r="AK288" s="3"/>
      <c r="AL288" s="3"/>
      <c r="AM288" s="3"/>
      <c r="AN288" s="3"/>
      <c r="AO288" s="3"/>
      <c r="AP288" s="3"/>
    </row>
    <row r="289" spans="1:42" x14ac:dyDescent="0.3">
      <c r="A289" s="3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3"/>
      <c r="AH289" s="3"/>
      <c r="AI289" s="3"/>
      <c r="AJ289" s="3"/>
      <c r="AK289" s="3"/>
      <c r="AL289" s="3"/>
      <c r="AM289" s="3"/>
      <c r="AN289" s="3"/>
      <c r="AO289" s="3"/>
      <c r="AP289" s="3"/>
    </row>
    <row r="290" spans="1:42" x14ac:dyDescent="0.3">
      <c r="A290" s="3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3"/>
      <c r="AH290" s="3"/>
      <c r="AI290" s="3"/>
      <c r="AJ290" s="3"/>
      <c r="AK290" s="3"/>
      <c r="AL290" s="3"/>
      <c r="AM290" s="3"/>
      <c r="AN290" s="3"/>
      <c r="AO290" s="3"/>
      <c r="AP290" s="3"/>
    </row>
    <row r="291" spans="1:42" x14ac:dyDescent="0.3">
      <c r="A291" s="3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3"/>
      <c r="AH291" s="3"/>
      <c r="AI291" s="3"/>
      <c r="AJ291" s="3"/>
      <c r="AK291" s="3"/>
      <c r="AL291" s="3"/>
      <c r="AM291" s="3"/>
      <c r="AN291" s="3"/>
      <c r="AO291" s="3"/>
      <c r="AP291" s="3"/>
    </row>
    <row r="292" spans="1:42" x14ac:dyDescent="0.3">
      <c r="A292" s="3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3"/>
      <c r="AH292" s="3"/>
      <c r="AI292" s="3"/>
      <c r="AJ292" s="3"/>
      <c r="AK292" s="3"/>
      <c r="AL292" s="3"/>
      <c r="AM292" s="3"/>
      <c r="AN292" s="3"/>
      <c r="AO292" s="3"/>
      <c r="AP292" s="3"/>
    </row>
    <row r="293" spans="1:42" x14ac:dyDescent="0.3">
      <c r="A293" s="3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3"/>
      <c r="AH293" s="3"/>
      <c r="AI293" s="3"/>
      <c r="AJ293" s="3"/>
      <c r="AK293" s="3"/>
      <c r="AL293" s="3"/>
      <c r="AM293" s="3"/>
      <c r="AN293" s="3"/>
      <c r="AO293" s="3"/>
      <c r="AP293" s="3"/>
    </row>
  </sheetData>
  <sheetProtection algorithmName="SHA-512" hashValue="hhjHvktTraoYWO4dBvck0KoiQ10uiztBi1+FQEJ4ws6Po+5nWPepgm9ijhSygmvgMFtrA+QbgTRSqMq1qNhPkw==" saltValue="uLFQon3t07yKbX+PTfEyqA==" spinCount="100000" sheet="1" objects="1" scenarios="1"/>
  <pageMargins left="0.7" right="0.7" top="0.75" bottom="0.75" header="0.3" footer="0.3"/>
  <pageSetup scale="32" orientation="portrait" r:id="rId1"/>
  <rowBreaks count="1" manualBreakCount="1">
    <brk id="46" max="16383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E21A8C218745A4CB1951571369713C3" ma:contentTypeVersion="13" ma:contentTypeDescription="Een nieuw document maken." ma:contentTypeScope="" ma:versionID="5c98413215442ac7dbc82eadf5494b2d">
  <xsd:schema xmlns:xsd="http://www.w3.org/2001/XMLSchema" xmlns:xs="http://www.w3.org/2001/XMLSchema" xmlns:p="http://schemas.microsoft.com/office/2006/metadata/properties" xmlns:ns3="acc84996-6fef-4fe6-9a34-0e7e060abb38" xmlns:ns4="af9c4c8b-dba3-4400-be87-27e9b0227737" targetNamespace="http://schemas.microsoft.com/office/2006/metadata/properties" ma:root="true" ma:fieldsID="65c12a20edd32aa681548064ada0ed46" ns3:_="" ns4:_="">
    <xsd:import namespace="acc84996-6fef-4fe6-9a34-0e7e060abb38"/>
    <xsd:import namespace="af9c4c8b-dba3-4400-be87-27e9b0227737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ServiceAutoTags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cc84996-6fef-4fe6-9a34-0e7e060abb3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1" nillable="true" ma:displayName="Location" ma:internalName="MediaServiceLocatio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9c4c8b-dba3-4400-be87-27e9b0227737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9" nillable="true" ma:displayName="Hint-hash delen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734DAA5-5145-44E8-8AF5-572237868E3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cc84996-6fef-4fe6-9a34-0e7e060abb38"/>
    <ds:schemaRef ds:uri="af9c4c8b-dba3-4400-be87-27e9b022773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A28A706-591D-43B8-BB53-5A340F65648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2D2C5C9-0CC2-43AE-B810-E406098FA8B3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Manager/>
  <Company>Hogeschool van Arnhem en Nijmegen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Steennis Bram</dc:creator>
  <cp:keywords/>
  <dc:description/>
  <cp:lastModifiedBy>Eigenaar</cp:lastModifiedBy>
  <cp:revision/>
  <dcterms:created xsi:type="dcterms:W3CDTF">2020-12-08T18:35:24Z</dcterms:created>
  <dcterms:modified xsi:type="dcterms:W3CDTF">2021-03-18T15:32:18Z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0x0101003E21A8C218745A4CB1951571369713C3</vt:lpwstr>
  </property>
</Properties>
</file>